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ibuzioni\Desktop\"/>
    </mc:Choice>
  </mc:AlternateContent>
  <xr:revisionPtr revIDLastSave="0" documentId="13_ncr:1_{7005EA7B-CD94-4333-84CA-8683C617DE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 commesse 2024 " sheetId="3" r:id="rId1"/>
  </sheets>
  <definedNames>
    <definedName name="_xlnm._FilterDatabase" localSheetId="0" hidden="1">'Lista commesse 2024 '!$A$6:$I$122</definedName>
    <definedName name="_xlnm.Print_Area" localSheetId="0">'Lista commesse 2024 '!$A$1:$I$124</definedName>
    <definedName name="_xlnm.Print_Titles" localSheetId="0">'Lista commesse 2024 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3" l="1"/>
  <c r="H94" i="3"/>
  <c r="H40" i="3" l="1"/>
  <c r="H121" i="3" l="1"/>
  <c r="H120" i="3"/>
  <c r="H119" i="3"/>
  <c r="H118" i="3"/>
  <c r="H117" i="3"/>
  <c r="H115" i="3"/>
  <c r="H114" i="3"/>
  <c r="H112" i="3"/>
  <c r="H111" i="3"/>
  <c r="H110" i="3"/>
  <c r="H107" i="3"/>
  <c r="H106" i="3"/>
  <c r="H105" i="3"/>
  <c r="H104" i="3"/>
  <c r="H103" i="3"/>
  <c r="H101" i="3"/>
  <c r="H100" i="3"/>
  <c r="H98" i="3"/>
  <c r="H97" i="3"/>
  <c r="H96" i="3"/>
  <c r="H95" i="3"/>
  <c r="H92" i="3"/>
  <c r="H91" i="3"/>
  <c r="H90" i="3"/>
  <c r="H89" i="3"/>
  <c r="H88" i="3"/>
  <c r="H87" i="3"/>
  <c r="H86" i="3"/>
  <c r="H85" i="3"/>
  <c r="H84" i="3"/>
  <c r="H83" i="3"/>
  <c r="H82" i="3"/>
  <c r="H80" i="3"/>
  <c r="H79" i="3"/>
  <c r="H77" i="3"/>
  <c r="H76" i="3"/>
  <c r="H75" i="3"/>
  <c r="H74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7" i="3"/>
  <c r="H46" i="3"/>
  <c r="H45" i="3"/>
  <c r="H44" i="3"/>
  <c r="H43" i="3"/>
  <c r="H42" i="3"/>
  <c r="H41" i="3"/>
  <c r="H39" i="3"/>
  <c r="H38" i="3"/>
  <c r="H37" i="3"/>
  <c r="H36" i="3"/>
  <c r="H35" i="3"/>
  <c r="H34" i="3"/>
  <c r="H32" i="3"/>
  <c r="H31" i="3"/>
  <c r="H30" i="3"/>
  <c r="H28" i="3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1" i="3"/>
  <c r="H9" i="3"/>
  <c r="H8" i="3"/>
  <c r="H7" i="3"/>
  <c r="H122" i="3" l="1"/>
</calcChain>
</file>

<file path=xl/sharedStrings.xml><?xml version="1.0" encoding="utf-8"?>
<sst xmlns="http://schemas.openxmlformats.org/spreadsheetml/2006/main" count="706" uniqueCount="231">
  <si>
    <t>In ottemperanza ai disposti degli artt. 7 cpv. 5 LCPubb e 13 cpv. 2-3 RLCPubb/CIAP il Comune di Tresa rende pubblica e accessibile la lista delle commesse che superano CHF 5'000.– (IVA esclusa) aggiudicate su invito o incarico diretto, con decisione cresciuta in giudicato.</t>
  </si>
  <si>
    <t>Oggetto</t>
  </si>
  <si>
    <t>Genere commessa</t>
  </si>
  <si>
    <t>Genere procedura</t>
  </si>
  <si>
    <t>Data aggiudicazione</t>
  </si>
  <si>
    <t>Importo deliberato</t>
  </si>
  <si>
    <t>IVA</t>
  </si>
  <si>
    <t>Base legale</t>
  </si>
  <si>
    <t>COMUNE DI TRESA</t>
  </si>
  <si>
    <t>Nr. RM</t>
  </si>
  <si>
    <t>Copa e Co SA, Savosa</t>
  </si>
  <si>
    <t>Germano Farina Sagl, Monteggio</t>
  </si>
  <si>
    <t>incarico diretto</t>
  </si>
  <si>
    <t>procedura ad invito</t>
  </si>
  <si>
    <t>esclusa</t>
  </si>
  <si>
    <t>Totale delle aggiudicazioni 2024</t>
  </si>
  <si>
    <t>Aerimpianti SA, Sorengo</t>
  </si>
  <si>
    <t>Opere impianti di ventilazione presso la Casa Comunale di Tresa</t>
  </si>
  <si>
    <t>LCPubb - Procedura su invito (art.7 cpv. 2)</t>
  </si>
  <si>
    <t>Aggiudicatario
nome e sede/domicilio</t>
  </si>
  <si>
    <t>COMMESSE PUBBLICHE ANNO 2024</t>
  </si>
  <si>
    <t>Architecture and Urban Planning, Lugano</t>
  </si>
  <si>
    <t>Allestimento compendio dello stato dell'urbanizzazione</t>
  </si>
  <si>
    <t>LCPubb - Incarico diretto (art. 7 cpv. 3 lett. h)</t>
  </si>
  <si>
    <t xml:space="preserve">Opere di progettazione dell'asilo nido e spazio anziani </t>
  </si>
  <si>
    <t>Studio d'ingegneria Bottani e Forrer SA, Caslano</t>
  </si>
  <si>
    <t>LCPubb - Incarico diretto (art. 7 cpv. 3 e 4)</t>
  </si>
  <si>
    <t>Campana Pittura, Castelrotto</t>
  </si>
  <si>
    <t xml:space="preserve">Opere da pittore </t>
  </si>
  <si>
    <t>Posa del nuovo riduttore di pressione</t>
  </si>
  <si>
    <t>Demasi e Rossinelli SAGL, Sessa</t>
  </si>
  <si>
    <t>Opere da impresario costruttore</t>
  </si>
  <si>
    <t>Intervento di taglio alberi pericolanti</t>
  </si>
  <si>
    <t xml:space="preserve">Rifacimento delle staccionate </t>
  </si>
  <si>
    <t>Taglio e sgombero platani</t>
  </si>
  <si>
    <t>Fornitura e messa in funzione della pompa 1 presso il pozzo di pompaggio</t>
  </si>
  <si>
    <t>Fornitura e messa in esercizio nuovo riduttore di pressione</t>
  </si>
  <si>
    <t>Häny AG, Jona</t>
  </si>
  <si>
    <t>Hawle Armaturen AG, Sirnach</t>
  </si>
  <si>
    <t>La falegnameria di Niccolò Boschetti, Muzzano</t>
  </si>
  <si>
    <t xml:space="preserve">Opere da falegname </t>
  </si>
  <si>
    <t>Lucchini &amp; Canepa, Lugano-Viganello</t>
  </si>
  <si>
    <t>Allestimento PGA quartiere di Sessa</t>
  </si>
  <si>
    <t>Allestimento del catasto privato delle canalizzazioni</t>
  </si>
  <si>
    <t>Michela M.Mina, Lugano</t>
  </si>
  <si>
    <t>Prestazioni di architetto per opere di progettazione dell'asilo nido e spazio anziani</t>
  </si>
  <si>
    <t>Piazza Pavimenti, Caslano</t>
  </si>
  <si>
    <t xml:space="preserve">Fornitura e posa di pavimenti in lineoleum </t>
  </si>
  <si>
    <t>Pavisud SA, Cadenazzo</t>
  </si>
  <si>
    <t xml:space="preserve">Ripristino della pavimentazione </t>
  </si>
  <si>
    <t>Opere di impresario costruttore e pavimentazione</t>
  </si>
  <si>
    <t>Opere da idraulico</t>
  </si>
  <si>
    <t>Spinelli SA, Massagno</t>
  </si>
  <si>
    <t>Opere impianti BMS-MSRL</t>
  </si>
  <si>
    <t>Opere impianti elettrici CF-CD</t>
  </si>
  <si>
    <t>Rinnovo telegestione degli acquedotti</t>
  </si>
  <si>
    <t>Studio Habitat, Airolo</t>
  </si>
  <si>
    <t>Elaborazione compendio d'urbanizzazione e della verifica didimensionamento del PR sezione Monteggio</t>
  </si>
  <si>
    <t xml:space="preserve">Opere impianti di riscaldamento </t>
  </si>
  <si>
    <t>Triges SA, Caslano</t>
  </si>
  <si>
    <t>Tech-Insta SA, Taverne</t>
  </si>
  <si>
    <t>Riva O. &amp; figli SA, Melide</t>
  </si>
  <si>
    <t xml:space="preserve">Opere da gessatore </t>
  </si>
  <si>
    <t>Verzeri &amp; Asmus Sagl, Caslano</t>
  </si>
  <si>
    <t>Prestazioni da ingegnere RVCS</t>
  </si>
  <si>
    <t>Widmer Wasser Technik, Coglio</t>
  </si>
  <si>
    <t>Fornitura e posa del nuovo impianto UV per il serbatorio dell'acqua potabile di Bonzaglio</t>
  </si>
  <si>
    <t>Fornitura e messa in esercizio dell'impianto di videosorveglianza</t>
  </si>
  <si>
    <t>Bosisio A. Sagl, Serocca d'Agno</t>
  </si>
  <si>
    <t xml:space="preserve">Opere da idraulico </t>
  </si>
  <si>
    <t>Opera da impresario</t>
  </si>
  <si>
    <t>CR Professional Work Sagl, Bedano</t>
  </si>
  <si>
    <t>Rifacimento parapetto e cancello presso scuola dell'infanzia</t>
  </si>
  <si>
    <t>SPQR Costruzioni e Conservazioni Sagl, Ponte Tresa</t>
  </si>
  <si>
    <t>Formazione platea in calcestruzzo presso ecocentro</t>
  </si>
  <si>
    <t>Tank Müller SA, Madonna del Piano</t>
  </si>
  <si>
    <t>Fornitura 2 tank provvisori e dismissione della cistarna dello stabile ex scuole elementari</t>
  </si>
  <si>
    <t>Studio Lucchini &amp; Canepa Ingegneria SA, Lugano-Viganello</t>
  </si>
  <si>
    <t>Onorario progettazione rifacimento canalizzazione e condotta AP</t>
  </si>
  <si>
    <t xml:space="preserve">Impaginazione e stampa bollettino </t>
  </si>
  <si>
    <t>Fornitura alimentari</t>
  </si>
  <si>
    <t>Trasporto allievi</t>
  </si>
  <si>
    <t>Lavori diversi</t>
  </si>
  <si>
    <t>Procedura emissione contributi di costruzione delle canalizzazioni</t>
  </si>
  <si>
    <t>Contributi di costruzione canalizzazioni e priano generale di smaltimento delle acque</t>
  </si>
  <si>
    <t>Contratto annuale</t>
  </si>
  <si>
    <t>Sfalcio bordi strade, sezione Monteggio</t>
  </si>
  <si>
    <t>Canoni e moduli</t>
  </si>
  <si>
    <t>Noleggio fotocopiatrici, toner, conteggio fotocopie</t>
  </si>
  <si>
    <t xml:space="preserve">Sostituzione varie </t>
  </si>
  <si>
    <t>Consorzio Trasporti Tresa</t>
  </si>
  <si>
    <t>Installazione sistema anticaduta</t>
  </si>
  <si>
    <t>Opere di pavimentazione</t>
  </si>
  <si>
    <t>Risanamento pozzetto quartiere Ponte Tresa</t>
  </si>
  <si>
    <t>Servizio multe</t>
  </si>
  <si>
    <t>Soda caustica</t>
  </si>
  <si>
    <t>Rapporto RASI stabili comunali</t>
  </si>
  <si>
    <t>Fornitura carburante</t>
  </si>
  <si>
    <t>Ritiro sacchi PP/PE</t>
  </si>
  <si>
    <t>Materiale scolastico</t>
  </si>
  <si>
    <t>Implementazione Registro Indici</t>
  </si>
  <si>
    <t>Canone WebGis</t>
  </si>
  <si>
    <t>Raccolta rifiuti RSU</t>
  </si>
  <si>
    <t>Fornitura Alimentari SI</t>
  </si>
  <si>
    <t>Analisi acqua</t>
  </si>
  <si>
    <t>Compendio dello stato di urbanizzazione</t>
  </si>
  <si>
    <t>Canoni e prestazioni diverse</t>
  </si>
  <si>
    <t>Prestazioni investimento casa comunale</t>
  </si>
  <si>
    <t>Allestimento piano finanziario 2025-2029</t>
  </si>
  <si>
    <t>Fornitura materiale cancelleria</t>
  </si>
  <si>
    <t>Forniture materiale e vestiti</t>
  </si>
  <si>
    <t>Interventi di ripristino puntuali condotte AP</t>
  </si>
  <si>
    <t>Archivista ritiro merce</t>
  </si>
  <si>
    <t>Servizio sgombero neve e spandimento sale stagione 2023-2024</t>
  </si>
  <si>
    <t>Personale a prestito</t>
  </si>
  <si>
    <t>ARU SA, Lugano</t>
  </si>
  <si>
    <t>Formazione del personale</t>
  </si>
  <si>
    <t>servizio</t>
  </si>
  <si>
    <t>fornitura</t>
  </si>
  <si>
    <t>B&amp;B trasporti Sagl, Monteggio</t>
  </si>
  <si>
    <r>
      <t>Atelier Ribo</t>
    </r>
    <r>
      <rPr>
        <sz val="9"/>
        <color theme="1"/>
        <rFont val="Tahoma"/>
        <family val="2"/>
      </rPr>
      <t xml:space="preserve">+ </t>
    </r>
    <r>
      <rPr>
        <sz val="11"/>
        <color theme="1"/>
        <rFont val="Tahoma"/>
        <family val="2"/>
      </rPr>
      <t>SA, Cadenazzo</t>
    </r>
  </si>
  <si>
    <t>Ballinari Giorgio, Monteggio</t>
  </si>
  <si>
    <t>Bernasconi e Forrer Ingegneria e misurazioni SA, Caslano</t>
  </si>
  <si>
    <t>Allways Consulting Sagl, Agno</t>
  </si>
  <si>
    <t>Amstutz Roberto, Magliaso</t>
  </si>
  <si>
    <t>BITIS disinfestazioni SA, Lugano</t>
  </si>
  <si>
    <t>Castellari Marco, Cureglia</t>
  </si>
  <si>
    <t>edile</t>
  </si>
  <si>
    <t>Centro di Calcolo Elettronico SA, Lugano</t>
  </si>
  <si>
    <t>CHC businnes solutions SA, Paradiso</t>
  </si>
  <si>
    <t>Consorzio Ecotresa, Davesco-Lugano</t>
  </si>
  <si>
    <t>Consorzio Fönic 23 B+C c/o Walo Bertschinger SA, Taverne</t>
  </si>
  <si>
    <t>edile secondario</t>
  </si>
  <si>
    <t>edile principale</t>
  </si>
  <si>
    <t>Revisione consuntivo 2023</t>
  </si>
  <si>
    <t>Pemsa SA, Cadempino</t>
  </si>
  <si>
    <t>Pedrazzini Tipografia SA, Locarno</t>
  </si>
  <si>
    <t>Paratore Giardini SA, Banco</t>
  </si>
  <si>
    <t>Mario Boldini SA, Lamone</t>
  </si>
  <si>
    <t>Mancini &amp; Marti SA, Castione</t>
  </si>
  <si>
    <t>Luca Castelli SA, Castione</t>
  </si>
  <si>
    <t>Istampa Print SA, Agno</t>
  </si>
  <si>
    <t>Interfida Revisioni e Consulenze SA, Lugano</t>
  </si>
  <si>
    <t>IFEC ingegneria SA, Rivera</t>
  </si>
  <si>
    <t>ICTeam SA, Bioggio</t>
  </si>
  <si>
    <t>Huber Matteo Architetto, Lugano</t>
  </si>
  <si>
    <t>HelvetiaLab SA, S.Antonino</t>
  </si>
  <si>
    <t>Grünenfelder SA, Quartino</t>
  </si>
  <si>
    <t>Giovanni Agustoni SA, Bioggio</t>
  </si>
  <si>
    <t>Gianni Ochsner Servizi SA, Lamone</t>
  </si>
  <si>
    <t>Geosistema SA, Lugano</t>
  </si>
  <si>
    <t>Geosistama SA, Lugano</t>
  </si>
  <si>
    <t>Garbani SA, Canobbio</t>
  </si>
  <si>
    <t>Fratelli Puricelli SA, Riva San Vitale</t>
  </si>
  <si>
    <t>Fratelli Maffi SA, Davesco-Soragno</t>
  </si>
  <si>
    <t>Enilive Suisse SA, Losanna</t>
  </si>
  <si>
    <t>Elettrodelmenico SA, Novaggio</t>
  </si>
  <si>
    <t>ECSA Chemicals AG, Balerna</t>
  </si>
  <si>
    <t>Digitalparking AG, Horgen</t>
  </si>
  <si>
    <t>Delta Security AG, Muzzano</t>
  </si>
  <si>
    <t>CPA Costruzioni Pavimentazioni Asfalti SA, Lugano</t>
  </si>
  <si>
    <t>Corti SA, Caslano</t>
  </si>
  <si>
    <t>F.lli Zanetti SA, Madonna del Piano</t>
  </si>
  <si>
    <t>Fornitura energia</t>
  </si>
  <si>
    <t>Servizio vetro</t>
  </si>
  <si>
    <t>Servizio RSU</t>
  </si>
  <si>
    <t>esclua</t>
  </si>
  <si>
    <t>Garage Ruspini SA, Madonna del Piano</t>
  </si>
  <si>
    <t>Servizio trasporto allievi</t>
  </si>
  <si>
    <t>Sgombero neve e spandimento sale strade comunali sezione Monteggio e Sessa</t>
  </si>
  <si>
    <t>Sgombero e spurgo materiale accumulato sul fondo riale Ribone</t>
  </si>
  <si>
    <t>Messerli Tecnica, Purasca</t>
  </si>
  <si>
    <t>Fornitura materiale</t>
  </si>
  <si>
    <t>MTF Business Solutions SA, Manno</t>
  </si>
  <si>
    <t>Contratto di manutenzione Archiflow</t>
  </si>
  <si>
    <t>Party Plastic SA, Maroggia</t>
  </si>
  <si>
    <t>Noleggio capannone</t>
  </si>
  <si>
    <t>Passera &amp; Associati Studio d'ingegneria SA, Pazzallo</t>
  </si>
  <si>
    <t>Progetto moderazione del traffico nucleo Castelrotto</t>
  </si>
  <si>
    <t>Planidea SA, Rivera</t>
  </si>
  <si>
    <t>Prestazioni PR</t>
  </si>
  <si>
    <t>Prestazioni aggiornamento PR Ponte Tresa</t>
  </si>
  <si>
    <t>Pulizia canali orizzontali Piazza Dogana</t>
  </si>
  <si>
    <t>PR Pulizia e Risanamenti SA, Viganello</t>
  </si>
  <si>
    <t>Pulicasa SA, Melano</t>
  </si>
  <si>
    <t>Servizio raccolta RSU</t>
  </si>
  <si>
    <t>Puliconsult SA, Caslano</t>
  </si>
  <si>
    <t>Prestazioni pulizie</t>
  </si>
  <si>
    <t>Ranzoni Carlo, Bioggio</t>
  </si>
  <si>
    <t>Opere di recinzione</t>
  </si>
  <si>
    <t>RS Recupero Materiali SA, Bironico</t>
  </si>
  <si>
    <t>Abbonamento, smaltimento vetro</t>
  </si>
  <si>
    <t>Saimu SA, Cadempino</t>
  </si>
  <si>
    <t>Fornitura mobilio</t>
  </si>
  <si>
    <t>Scaletti Jonathan, Bedigliora</t>
  </si>
  <si>
    <t>Scrinium Sagl, Mezzovico</t>
  </si>
  <si>
    <t>Riordino archivio comunale</t>
  </si>
  <si>
    <t>Silicon Swiss Sagl, Agno</t>
  </si>
  <si>
    <t>Fornitura sacchi</t>
  </si>
  <si>
    <t>Studio d'architettura di Luigi Bulloni, Bellinzona</t>
  </si>
  <si>
    <t>Consulenza ristrutturazione casa comunale</t>
  </si>
  <si>
    <t>Studio d'architettura Dotta Bulloni, Caslano</t>
  </si>
  <si>
    <t>Onorario consulenza ristutturazione casa comunale</t>
  </si>
  <si>
    <t>Studio d'ingegneria Bloch Roussette Casale SA, Agno</t>
  </si>
  <si>
    <t>Progetto sentiero bosco di protezione</t>
  </si>
  <si>
    <t>Consulenza progetto Eureka</t>
  </si>
  <si>
    <t>Swegon AG, Lyssach</t>
  </si>
  <si>
    <t>Ristrutturazione casa comunale</t>
  </si>
  <si>
    <t>Vigilantia SA, Stabio</t>
  </si>
  <si>
    <t>Vismara &amp; CO SA, Davesco-Soragno</t>
  </si>
  <si>
    <t>Smaltimento rifiuti</t>
  </si>
  <si>
    <t>VonRoll Hydro (suisse) AG, Oensingen</t>
  </si>
  <si>
    <t>Contratto di manutenzione idranti</t>
  </si>
  <si>
    <t>Zumtobel Licht AG, Lugano</t>
  </si>
  <si>
    <t>Fornitura corpi illuminanti Casa Comunale</t>
  </si>
  <si>
    <t>concorso internazionale</t>
  </si>
  <si>
    <t>Opere ampliamento cassone doppio Rovereda</t>
  </si>
  <si>
    <t>Progettazione e appalto per opere nuova condotta AP Nuova Barico</t>
  </si>
  <si>
    <t>Prestazioni servizio silo sale</t>
  </si>
  <si>
    <t>Opere di carotaggio rifacimento scarico di fondo del serbatorio Mirabello Sessa</t>
  </si>
  <si>
    <t>Servizi ecocentri (concorso ad invito 12.01.2023)</t>
  </si>
  <si>
    <t>Progettazione e appalto per opere di sostituzione condotta premente AP VIA MARTELLI CASLANO</t>
  </si>
  <si>
    <t>Art.12 cap. 1 lett. A CIAP</t>
  </si>
  <si>
    <t>Manutenzione parchimetro collettivo</t>
  </si>
  <si>
    <t>Rivista La Breva 2024</t>
  </si>
  <si>
    <t>Rossi Fabrizio, Bissone</t>
  </si>
  <si>
    <t>Controllo impianti di combustione 21°ciclo - quartiere di Sessa</t>
  </si>
  <si>
    <t>Poma Michele, Morcote</t>
  </si>
  <si>
    <t>Controllo impianti di combustione 21°ciclo - quartiere di Ponte Tresa</t>
  </si>
  <si>
    <t>RM 323 del 31.03.2025</t>
  </si>
  <si>
    <t>Data pubblicazione lista: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</si>
</sst>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2"/>
      <color theme="1"/>
      <name val="Tahoma"/>
      <family val="2"/>
    </font>
    <font>
      <i/>
      <sz val="14"/>
      <color theme="1"/>
      <name val="Tahoma"/>
      <family val="2"/>
    </font>
    <font>
      <sz val="13"/>
      <color theme="1"/>
      <name val="Tahoma"/>
      <family val="2"/>
    </font>
    <font>
      <sz val="13"/>
      <color theme="1"/>
      <name val="Calibri"/>
      <family val="2"/>
      <scheme val="minor"/>
    </font>
    <font>
      <sz val="9"/>
      <color theme="1"/>
      <name val="Tahoma"/>
      <family val="2"/>
    </font>
    <font>
      <sz val="14"/>
      <name val="Tahoma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33" borderId="10" xfId="0" applyFont="1" applyFill="1" applyBorder="1" applyAlignment="1">
      <alignment vertical="center"/>
    </xf>
    <xf numFmtId="0" fontId="23" fillId="33" borderId="10" xfId="0" applyFont="1" applyFill="1" applyBorder="1" applyAlignment="1">
      <alignment vertical="center" wrapText="1"/>
    </xf>
    <xf numFmtId="14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44" fontId="21" fillId="0" borderId="0" xfId="42" applyFont="1" applyBorder="1" applyAlignment="1">
      <alignment horizontal="right" vertical="center"/>
    </xf>
    <xf numFmtId="44" fontId="21" fillId="0" borderId="0" xfId="42" applyFont="1" applyBorder="1" applyAlignment="1">
      <alignment horizontal="left" vertical="center"/>
    </xf>
    <xf numFmtId="44" fontId="18" fillId="0" borderId="10" xfId="42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4" fontId="21" fillId="0" borderId="10" xfId="0" applyNumberFormat="1" applyFont="1" applyBorder="1" applyAlignment="1">
      <alignment vertical="center"/>
    </xf>
    <xf numFmtId="44" fontId="21" fillId="0" borderId="11" xfId="42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18" fillId="0" borderId="10" xfId="0" quotePrefix="1" applyFont="1" applyBorder="1" applyAlignment="1">
      <alignment horizontal="right" vertical="center"/>
    </xf>
    <xf numFmtId="44" fontId="18" fillId="0" borderId="10" xfId="42" applyFont="1" applyFill="1" applyBorder="1" applyAlignment="1">
      <alignment vertical="center"/>
    </xf>
    <xf numFmtId="14" fontId="22" fillId="0" borderId="10" xfId="0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4" fontId="22" fillId="0" borderId="10" xfId="42" applyFont="1" applyFill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/>
    <xf numFmtId="0" fontId="22" fillId="0" borderId="10" xfId="0" applyFont="1" applyBorder="1" applyAlignment="1">
      <alignment horizontal="right" vertical="center"/>
    </xf>
    <xf numFmtId="14" fontId="22" fillId="0" borderId="10" xfId="0" quotePrefix="1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left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  <cellStyle name="Valuta 2" xfId="43" xr:uid="{8C7A764D-CD93-448C-BE93-5E342B1B4841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0009-1B39-436A-A8DD-2A089DA2DF24}">
  <sheetPr>
    <pageSetUpPr fitToPage="1"/>
  </sheetPr>
  <dimension ref="A1:V1045954"/>
  <sheetViews>
    <sheetView tabSelected="1" topLeftCell="A112" zoomScale="80" zoomScaleNormal="80" workbookViewId="0">
      <selection activeCell="C133" sqref="C133"/>
    </sheetView>
  </sheetViews>
  <sheetFormatPr defaultRowHeight="18.75" x14ac:dyDescent="0.3"/>
  <cols>
    <col min="1" max="1" width="11.5703125" customWidth="1"/>
    <col min="2" max="2" width="22.140625" customWidth="1"/>
    <col min="3" max="3" width="60.140625" bestFit="1" customWidth="1"/>
    <col min="4" max="4" width="104.140625" bestFit="1" customWidth="1"/>
    <col min="5" max="5" width="21.5703125" bestFit="1" customWidth="1"/>
    <col min="6" max="6" width="25.28515625" bestFit="1" customWidth="1"/>
    <col min="7" max="7" width="48.42578125" bestFit="1" customWidth="1"/>
    <col min="8" max="8" width="25.140625" bestFit="1" customWidth="1"/>
    <col min="9" max="9" width="18.140625" customWidth="1"/>
    <col min="10" max="22" width="9.140625" style="29"/>
  </cols>
  <sheetData>
    <row r="1" spans="1:22" s="1" customFormat="1" ht="33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1" customFormat="1" ht="33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1" customFormat="1" ht="48.7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6" spans="1:22" s="2" customFormat="1" ht="44.25" customHeight="1" x14ac:dyDescent="0.25">
      <c r="A6" s="5" t="s">
        <v>9</v>
      </c>
      <c r="B6" s="6" t="s">
        <v>4</v>
      </c>
      <c r="C6" s="6" t="s">
        <v>19</v>
      </c>
      <c r="D6" s="5" t="s">
        <v>1</v>
      </c>
      <c r="E6" s="5" t="s">
        <v>2</v>
      </c>
      <c r="F6" s="5" t="s">
        <v>3</v>
      </c>
      <c r="G6" s="5" t="s">
        <v>7</v>
      </c>
      <c r="H6" s="6" t="s">
        <v>5</v>
      </c>
      <c r="I6" s="5" t="s">
        <v>6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s="2" customFormat="1" ht="20.100000000000001" customHeight="1" x14ac:dyDescent="0.25">
      <c r="A7" s="11">
        <v>344</v>
      </c>
      <c r="B7" s="7">
        <v>45390</v>
      </c>
      <c r="C7" s="8" t="s">
        <v>16</v>
      </c>
      <c r="D7" s="8" t="s">
        <v>17</v>
      </c>
      <c r="E7" s="8" t="s">
        <v>132</v>
      </c>
      <c r="F7" s="8" t="s">
        <v>13</v>
      </c>
      <c r="G7" s="8" t="s">
        <v>18</v>
      </c>
      <c r="H7" s="14">
        <f>80070.75/108.1*100</f>
        <v>74070.999074930631</v>
      </c>
      <c r="I7" s="9" t="s">
        <v>14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s="2" customFormat="1" ht="20.100000000000001" customHeight="1" x14ac:dyDescent="0.25">
      <c r="A8" s="11">
        <v>475</v>
      </c>
      <c r="B8" s="7">
        <v>45418</v>
      </c>
      <c r="C8" s="8" t="s">
        <v>123</v>
      </c>
      <c r="D8" s="8" t="s">
        <v>79</v>
      </c>
      <c r="E8" s="8" t="s">
        <v>117</v>
      </c>
      <c r="F8" s="8" t="s">
        <v>12</v>
      </c>
      <c r="G8" s="8" t="s">
        <v>23</v>
      </c>
      <c r="H8" s="14">
        <f>11499.1/108.1*100</f>
        <v>10637.465309898244</v>
      </c>
      <c r="I8" s="9" t="s">
        <v>14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s="2" customFormat="1" ht="20.100000000000001" customHeight="1" x14ac:dyDescent="0.25">
      <c r="A9" s="11">
        <v>262</v>
      </c>
      <c r="B9" s="7">
        <v>45358</v>
      </c>
      <c r="C9" s="8" t="s">
        <v>124</v>
      </c>
      <c r="D9" s="8" t="s">
        <v>80</v>
      </c>
      <c r="E9" s="8" t="s">
        <v>118</v>
      </c>
      <c r="F9" s="8" t="s">
        <v>12</v>
      </c>
      <c r="G9" s="8" t="s">
        <v>23</v>
      </c>
      <c r="H9" s="14">
        <f>6031.65/108.1*100</f>
        <v>5579.6947271045328</v>
      </c>
      <c r="I9" s="9" t="s">
        <v>14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2" customFormat="1" ht="20.100000000000001" customHeight="1" x14ac:dyDescent="0.25">
      <c r="A10" s="11">
        <v>242</v>
      </c>
      <c r="B10" s="7">
        <v>45358</v>
      </c>
      <c r="C10" s="8" t="s">
        <v>21</v>
      </c>
      <c r="D10" s="8" t="s">
        <v>22</v>
      </c>
      <c r="E10" s="8" t="s">
        <v>117</v>
      </c>
      <c r="F10" s="8" t="s">
        <v>12</v>
      </c>
      <c r="G10" s="8" t="s">
        <v>23</v>
      </c>
      <c r="H10" s="14">
        <v>9100</v>
      </c>
      <c r="I10" s="9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s="2" customFormat="1" x14ac:dyDescent="0.25">
      <c r="A11" s="11">
        <v>229</v>
      </c>
      <c r="B11" s="7">
        <v>45351</v>
      </c>
      <c r="C11" s="8" t="s">
        <v>115</v>
      </c>
      <c r="D11" s="8" t="s">
        <v>116</v>
      </c>
      <c r="E11" s="8" t="s">
        <v>117</v>
      </c>
      <c r="F11" s="8" t="s">
        <v>12</v>
      </c>
      <c r="G11" s="8" t="s">
        <v>23</v>
      </c>
      <c r="H11" s="14">
        <f>15566.4/108.1*100</f>
        <v>14400</v>
      </c>
      <c r="I11" s="9" t="s">
        <v>14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s="2" customFormat="1" x14ac:dyDescent="0.25">
      <c r="A12" s="11">
        <v>343</v>
      </c>
      <c r="B12" s="7">
        <v>45390</v>
      </c>
      <c r="C12" s="8" t="s">
        <v>120</v>
      </c>
      <c r="D12" s="8" t="s">
        <v>24</v>
      </c>
      <c r="E12" s="8" t="s">
        <v>117</v>
      </c>
      <c r="F12" s="8" t="s">
        <v>12</v>
      </c>
      <c r="G12" s="8" t="s">
        <v>23</v>
      </c>
      <c r="H12" s="21">
        <v>8720</v>
      </c>
      <c r="I12" s="9" t="s">
        <v>14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s="2" customFormat="1" ht="20.100000000000001" customHeight="1" x14ac:dyDescent="0.25">
      <c r="A13" s="11">
        <v>191</v>
      </c>
      <c r="B13" s="7">
        <v>45341</v>
      </c>
      <c r="C13" s="8" t="s">
        <v>119</v>
      </c>
      <c r="D13" s="8" t="s">
        <v>81</v>
      </c>
      <c r="E13" s="8" t="s">
        <v>117</v>
      </c>
      <c r="F13" s="8" t="s">
        <v>12</v>
      </c>
      <c r="G13" s="8" t="s">
        <v>23</v>
      </c>
      <c r="H13" s="14">
        <f>26647.1/108.1*100</f>
        <v>24650.416281221093</v>
      </c>
      <c r="I13" s="9" t="s">
        <v>14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s="2" customFormat="1" ht="20.100000000000001" customHeight="1" x14ac:dyDescent="0.25">
      <c r="A14" s="11">
        <v>191</v>
      </c>
      <c r="B14" s="7">
        <v>45341</v>
      </c>
      <c r="C14" s="8" t="s">
        <v>121</v>
      </c>
      <c r="D14" s="18" t="s">
        <v>81</v>
      </c>
      <c r="E14" s="8" t="s">
        <v>117</v>
      </c>
      <c r="F14" s="8" t="s">
        <v>12</v>
      </c>
      <c r="G14" s="8" t="s">
        <v>23</v>
      </c>
      <c r="H14" s="14">
        <f>34344/108.1*100</f>
        <v>31770.582793709531</v>
      </c>
      <c r="I14" s="9" t="s">
        <v>14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s="2" customFormat="1" ht="20.100000000000001" customHeight="1" x14ac:dyDescent="0.25">
      <c r="A15" s="11">
        <v>1008</v>
      </c>
      <c r="B15" s="7">
        <v>45586</v>
      </c>
      <c r="C15" s="8" t="s">
        <v>122</v>
      </c>
      <c r="D15" s="8" t="s">
        <v>82</v>
      </c>
      <c r="E15" s="8" t="s">
        <v>117</v>
      </c>
      <c r="F15" s="8" t="s">
        <v>12</v>
      </c>
      <c r="G15" s="8" t="s">
        <v>23</v>
      </c>
      <c r="H15" s="14">
        <f>55896.35/108.1*100</f>
        <v>51708.00185013876</v>
      </c>
      <c r="I15" s="9" t="s">
        <v>14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s="2" customFormat="1" ht="20.100000000000001" customHeight="1" x14ac:dyDescent="0.25">
      <c r="A16" s="11">
        <v>171</v>
      </c>
      <c r="B16" s="7">
        <v>45334</v>
      </c>
      <c r="C16" s="8" t="s">
        <v>122</v>
      </c>
      <c r="D16" s="8" t="s">
        <v>83</v>
      </c>
      <c r="E16" s="8" t="s">
        <v>117</v>
      </c>
      <c r="F16" s="8" t="s">
        <v>12</v>
      </c>
      <c r="G16" s="8" t="s">
        <v>23</v>
      </c>
      <c r="H16" s="14">
        <f>6306.9/108.1*100</f>
        <v>5834.3200740055499</v>
      </c>
      <c r="I16" s="9" t="s">
        <v>14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s="2" customFormat="1" ht="20.100000000000001" customHeight="1" x14ac:dyDescent="0.25">
      <c r="A17" s="11">
        <v>893</v>
      </c>
      <c r="B17" s="7">
        <v>45554</v>
      </c>
      <c r="C17" s="8" t="s">
        <v>122</v>
      </c>
      <c r="D17" s="8" t="s">
        <v>84</v>
      </c>
      <c r="E17" s="8" t="s">
        <v>117</v>
      </c>
      <c r="F17" s="8" t="s">
        <v>12</v>
      </c>
      <c r="G17" s="8" t="s">
        <v>23</v>
      </c>
      <c r="H17" s="14">
        <f>5557.95/108.1*100</f>
        <v>5141.489361702128</v>
      </c>
      <c r="I17" s="9" t="s">
        <v>14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s="2" customFormat="1" ht="20.100000000000001" customHeight="1" x14ac:dyDescent="0.25">
      <c r="A18" s="11">
        <v>707</v>
      </c>
      <c r="B18" s="7">
        <v>45488</v>
      </c>
      <c r="C18" s="8" t="s">
        <v>125</v>
      </c>
      <c r="D18" s="8" t="s">
        <v>85</v>
      </c>
      <c r="E18" s="8" t="s">
        <v>117</v>
      </c>
      <c r="F18" s="8" t="s">
        <v>12</v>
      </c>
      <c r="G18" s="8" t="s">
        <v>23</v>
      </c>
      <c r="H18" s="14">
        <f>6107.65/108.1*100</f>
        <v>5650</v>
      </c>
      <c r="I18" s="9" t="s">
        <v>14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s="2" customFormat="1" ht="20.100000000000001" customHeight="1" x14ac:dyDescent="0.25">
      <c r="A19" s="30">
        <v>150</v>
      </c>
      <c r="B19" s="22">
        <v>45334</v>
      </c>
      <c r="C19" s="10" t="s">
        <v>68</v>
      </c>
      <c r="D19" s="10" t="s">
        <v>219</v>
      </c>
      <c r="E19" s="10" t="s">
        <v>133</v>
      </c>
      <c r="F19" s="10" t="s">
        <v>12</v>
      </c>
      <c r="G19" s="10" t="s">
        <v>23</v>
      </c>
      <c r="H19" s="24">
        <v>6230</v>
      </c>
      <c r="I19" s="25" t="s">
        <v>14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s="2" customFormat="1" ht="20.100000000000001" customHeight="1" x14ac:dyDescent="0.25">
      <c r="A20" s="20">
        <v>344</v>
      </c>
      <c r="B20" s="7">
        <v>45390</v>
      </c>
      <c r="C20" s="8" t="s">
        <v>27</v>
      </c>
      <c r="D20" s="8" t="s">
        <v>28</v>
      </c>
      <c r="E20" s="8" t="s">
        <v>133</v>
      </c>
      <c r="F20" s="8" t="s">
        <v>12</v>
      </c>
      <c r="G20" s="8" t="s">
        <v>23</v>
      </c>
      <c r="H20" s="14">
        <f>21989.05/108.1*100</f>
        <v>20341.396854764109</v>
      </c>
      <c r="I20" s="9" t="s">
        <v>14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s="2" customFormat="1" ht="20.100000000000001" customHeight="1" x14ac:dyDescent="0.25">
      <c r="A21" s="11">
        <v>1145</v>
      </c>
      <c r="B21" s="7">
        <v>45620</v>
      </c>
      <c r="C21" s="8" t="s">
        <v>126</v>
      </c>
      <c r="D21" s="8" t="s">
        <v>86</v>
      </c>
      <c r="E21" s="8" t="s">
        <v>132</v>
      </c>
      <c r="F21" s="8" t="s">
        <v>12</v>
      </c>
      <c r="G21" s="8" t="s">
        <v>23</v>
      </c>
      <c r="H21" s="14">
        <f>17000/108.1*100</f>
        <v>15726.179463459761</v>
      </c>
      <c r="I21" s="9" t="s">
        <v>14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" customFormat="1" x14ac:dyDescent="0.25">
      <c r="A22" s="11">
        <v>113</v>
      </c>
      <c r="B22" s="7">
        <v>45320</v>
      </c>
      <c r="C22" s="8" t="s">
        <v>128</v>
      </c>
      <c r="D22" s="8" t="s">
        <v>87</v>
      </c>
      <c r="E22" s="8" t="s">
        <v>117</v>
      </c>
      <c r="F22" s="8" t="s">
        <v>12</v>
      </c>
      <c r="G22" s="8" t="s">
        <v>23</v>
      </c>
      <c r="H22" s="14">
        <f>47669.9/108.1*100</f>
        <v>44097.964847363553</v>
      </c>
      <c r="I22" s="9" t="s">
        <v>14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2" customFormat="1" ht="20.100000000000001" customHeight="1" x14ac:dyDescent="0.25">
      <c r="A23" s="11">
        <v>66</v>
      </c>
      <c r="B23" s="7">
        <v>45306</v>
      </c>
      <c r="C23" s="8" t="s">
        <v>129</v>
      </c>
      <c r="D23" s="8" t="s">
        <v>88</v>
      </c>
      <c r="E23" s="8" t="s">
        <v>117</v>
      </c>
      <c r="F23" s="8" t="s">
        <v>12</v>
      </c>
      <c r="G23" s="8" t="s">
        <v>23</v>
      </c>
      <c r="H23" s="14">
        <f>22163.7/108.1*100</f>
        <v>20502.960222016653</v>
      </c>
      <c r="I23" s="9" t="s">
        <v>14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" customFormat="1" ht="20.100000000000001" customHeight="1" x14ac:dyDescent="0.25">
      <c r="A24" s="11">
        <v>191</v>
      </c>
      <c r="B24" s="7">
        <v>45341</v>
      </c>
      <c r="C24" s="8" t="s">
        <v>130</v>
      </c>
      <c r="D24" s="10" t="s">
        <v>220</v>
      </c>
      <c r="E24" s="8" t="s">
        <v>117</v>
      </c>
      <c r="F24" s="10" t="s">
        <v>13</v>
      </c>
      <c r="G24" s="10" t="s">
        <v>18</v>
      </c>
      <c r="H24" s="21">
        <f>213663.25/108.1*100</f>
        <v>197653.33024976874</v>
      </c>
      <c r="I24" s="9" t="s">
        <v>14</v>
      </c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s="2" customFormat="1" x14ac:dyDescent="0.25">
      <c r="A25" s="11">
        <v>171</v>
      </c>
      <c r="B25" s="7">
        <v>45334</v>
      </c>
      <c r="C25" s="8" t="s">
        <v>131</v>
      </c>
      <c r="D25" s="8" t="s">
        <v>89</v>
      </c>
      <c r="E25" s="8" t="s">
        <v>127</v>
      </c>
      <c r="F25" s="8" t="s">
        <v>12</v>
      </c>
      <c r="G25" s="8" t="s">
        <v>23</v>
      </c>
      <c r="H25" s="14">
        <f>24657.9/108.1*100</f>
        <v>22810.268270120261</v>
      </c>
      <c r="I25" s="9" t="s">
        <v>14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" customFormat="1" ht="20.100000000000001" customHeight="1" x14ac:dyDescent="0.25">
      <c r="A26" s="30">
        <v>464</v>
      </c>
      <c r="B26" s="22">
        <v>45425</v>
      </c>
      <c r="C26" s="10" t="s">
        <v>90</v>
      </c>
      <c r="D26" s="10" t="s">
        <v>81</v>
      </c>
      <c r="E26" s="10" t="s">
        <v>117</v>
      </c>
      <c r="F26" s="10" t="s">
        <v>215</v>
      </c>
      <c r="G26" s="10" t="s">
        <v>222</v>
      </c>
      <c r="H26" s="24">
        <f>111498.35/108.1*100</f>
        <v>103143.70952821462</v>
      </c>
      <c r="I26" s="25" t="s">
        <v>14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s="2" customFormat="1" x14ac:dyDescent="0.25">
      <c r="A27" s="11">
        <v>656</v>
      </c>
      <c r="B27" s="7">
        <v>45474</v>
      </c>
      <c r="C27" s="8" t="s">
        <v>10</v>
      </c>
      <c r="D27" s="8" t="s">
        <v>29</v>
      </c>
      <c r="E27" s="8" t="s">
        <v>133</v>
      </c>
      <c r="F27" s="8" t="s">
        <v>12</v>
      </c>
      <c r="G27" s="8" t="s">
        <v>23</v>
      </c>
      <c r="H27" s="14">
        <v>9167.07</v>
      </c>
      <c r="I27" s="9" t="s">
        <v>14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" customFormat="1" ht="20.100000000000001" customHeight="1" x14ac:dyDescent="0.25">
      <c r="A28" s="11">
        <v>970</v>
      </c>
      <c r="B28" s="7">
        <v>45586</v>
      </c>
      <c r="C28" s="8" t="s">
        <v>10</v>
      </c>
      <c r="D28" s="8" t="s">
        <v>69</v>
      </c>
      <c r="E28" s="8" t="s">
        <v>133</v>
      </c>
      <c r="F28" s="8" t="s">
        <v>12</v>
      </c>
      <c r="G28" s="8" t="s">
        <v>26</v>
      </c>
      <c r="H28" s="14">
        <f>24345.2/108.1*100</f>
        <v>22520.999074930623</v>
      </c>
      <c r="I28" s="9" t="s">
        <v>14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s="2" customFormat="1" ht="20.100000000000001" customHeight="1" x14ac:dyDescent="0.25">
      <c r="A29" s="11">
        <v>76</v>
      </c>
      <c r="B29" s="7">
        <v>45313</v>
      </c>
      <c r="C29" s="8" t="s">
        <v>10</v>
      </c>
      <c r="D29" s="8" t="s">
        <v>69</v>
      </c>
      <c r="E29" s="8" t="s">
        <v>133</v>
      </c>
      <c r="F29" s="8" t="s">
        <v>12</v>
      </c>
      <c r="G29" s="8" t="s">
        <v>23</v>
      </c>
      <c r="H29" s="14">
        <v>11400</v>
      </c>
      <c r="I29" s="9" t="s">
        <v>14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" customFormat="1" x14ac:dyDescent="0.25">
      <c r="A30" s="11">
        <v>1145</v>
      </c>
      <c r="B30" s="7">
        <v>45614</v>
      </c>
      <c r="C30" s="8" t="s">
        <v>161</v>
      </c>
      <c r="D30" s="8" t="s">
        <v>91</v>
      </c>
      <c r="E30" s="8" t="s">
        <v>132</v>
      </c>
      <c r="F30" s="8" t="s">
        <v>12</v>
      </c>
      <c r="G30" s="8" t="s">
        <v>23</v>
      </c>
      <c r="H30" s="14">
        <f>6614/108.1*100</f>
        <v>6118.4088806660502</v>
      </c>
      <c r="I30" s="9" t="s">
        <v>14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s="2" customFormat="1" ht="20.100000000000001" customHeight="1" x14ac:dyDescent="0.25">
      <c r="A31" s="11">
        <v>417</v>
      </c>
      <c r="B31" s="7">
        <v>45399</v>
      </c>
      <c r="C31" s="8" t="s">
        <v>160</v>
      </c>
      <c r="D31" s="8" t="s">
        <v>92</v>
      </c>
      <c r="E31" s="8" t="s">
        <v>133</v>
      </c>
      <c r="F31" s="8" t="s">
        <v>12</v>
      </c>
      <c r="G31" s="8" t="s">
        <v>23</v>
      </c>
      <c r="H31" s="14">
        <f>12094.23/108.1*100</f>
        <v>11188.00185013876</v>
      </c>
      <c r="I31" s="9" t="s">
        <v>14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" customFormat="1" x14ac:dyDescent="0.25">
      <c r="A32" s="11">
        <v>229</v>
      </c>
      <c r="B32" s="7">
        <v>45351</v>
      </c>
      <c r="C32" s="8" t="s">
        <v>160</v>
      </c>
      <c r="D32" s="8" t="s">
        <v>93</v>
      </c>
      <c r="E32" s="8" t="s">
        <v>133</v>
      </c>
      <c r="F32" s="8" t="s">
        <v>12</v>
      </c>
      <c r="G32" s="8" t="s">
        <v>23</v>
      </c>
      <c r="H32" s="14">
        <f>10966.75/108.1*100</f>
        <v>10145.004625346901</v>
      </c>
      <c r="I32" s="9" t="s">
        <v>14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s="2" customFormat="1" ht="20.100000000000001" customHeight="1" x14ac:dyDescent="0.25">
      <c r="A33" s="30">
        <v>932</v>
      </c>
      <c r="B33" s="22">
        <v>45572</v>
      </c>
      <c r="C33" s="10" t="s">
        <v>71</v>
      </c>
      <c r="D33" s="10" t="s">
        <v>72</v>
      </c>
      <c r="E33" s="8" t="s">
        <v>133</v>
      </c>
      <c r="F33" s="10" t="s">
        <v>12</v>
      </c>
      <c r="G33" s="10" t="s">
        <v>23</v>
      </c>
      <c r="H33" s="24">
        <v>6127.5</v>
      </c>
      <c r="I33" s="9" t="s">
        <v>14</v>
      </c>
      <c r="J33" s="2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" customFormat="1" ht="20.100000000000001" customHeight="1" x14ac:dyDescent="0.25">
      <c r="A34" s="11">
        <v>643</v>
      </c>
      <c r="B34" s="7">
        <v>45462</v>
      </c>
      <c r="C34" s="8" t="s">
        <v>159</v>
      </c>
      <c r="D34" s="18" t="s">
        <v>94</v>
      </c>
      <c r="E34" s="8" t="s">
        <v>117</v>
      </c>
      <c r="F34" s="8" t="s">
        <v>12</v>
      </c>
      <c r="G34" s="8" t="s">
        <v>23</v>
      </c>
      <c r="H34" s="14">
        <f>54127.2/108.1*100</f>
        <v>50071.415356151709</v>
      </c>
      <c r="I34" s="9" t="s">
        <v>14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s="2" customFormat="1" ht="20.100000000000001" customHeight="1" x14ac:dyDescent="0.25">
      <c r="A35" s="11">
        <v>344</v>
      </c>
      <c r="B35" s="7">
        <v>45390</v>
      </c>
      <c r="C35" s="8" t="s">
        <v>30</v>
      </c>
      <c r="D35" s="8" t="s">
        <v>31</v>
      </c>
      <c r="E35" s="8" t="s">
        <v>133</v>
      </c>
      <c r="F35" s="8" t="s">
        <v>12</v>
      </c>
      <c r="G35" s="8" t="s">
        <v>23</v>
      </c>
      <c r="H35" s="14">
        <f>71626.8/108.1*100</f>
        <v>66259.759481961155</v>
      </c>
      <c r="I35" s="9" t="s">
        <v>14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" customFormat="1" x14ac:dyDescent="0.25">
      <c r="A36" s="11">
        <v>66</v>
      </c>
      <c r="B36" s="7">
        <v>45306</v>
      </c>
      <c r="C36" s="8" t="s">
        <v>158</v>
      </c>
      <c r="D36" s="8" t="s">
        <v>223</v>
      </c>
      <c r="E36" s="8" t="s">
        <v>117</v>
      </c>
      <c r="F36" s="8" t="s">
        <v>12</v>
      </c>
      <c r="G36" s="8" t="s">
        <v>23</v>
      </c>
      <c r="H36" s="21">
        <f>5241.8/108.1*100</f>
        <v>4849.0286771507872</v>
      </c>
      <c r="I36" s="9" t="s">
        <v>14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s="2" customFormat="1" ht="20.100000000000001" customHeight="1" x14ac:dyDescent="0.25">
      <c r="A37" s="11">
        <v>318</v>
      </c>
      <c r="B37" s="7">
        <v>45364</v>
      </c>
      <c r="C37" s="8" t="s">
        <v>157</v>
      </c>
      <c r="D37" s="8" t="s">
        <v>95</v>
      </c>
      <c r="E37" s="8" t="s">
        <v>118</v>
      </c>
      <c r="F37" s="8" t="s">
        <v>12</v>
      </c>
      <c r="G37" s="8" t="s">
        <v>23</v>
      </c>
      <c r="H37" s="14">
        <f>29533.2/108.1*100</f>
        <v>27320.259019426459</v>
      </c>
      <c r="I37" s="9" t="s">
        <v>14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" customFormat="1" ht="20.100000000000001" customHeight="1" x14ac:dyDescent="0.25">
      <c r="A38" s="11">
        <v>707</v>
      </c>
      <c r="B38" s="7">
        <v>45488</v>
      </c>
      <c r="C38" s="8" t="s">
        <v>156</v>
      </c>
      <c r="D38" s="8" t="s">
        <v>96</v>
      </c>
      <c r="E38" s="8" t="s">
        <v>117</v>
      </c>
      <c r="F38" s="8" t="s">
        <v>12</v>
      </c>
      <c r="G38" s="8" t="s">
        <v>23</v>
      </c>
      <c r="H38" s="14">
        <f>11195.1/108.1*100</f>
        <v>10356.244218316373</v>
      </c>
      <c r="I38" s="9" t="s">
        <v>14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s="2" customFormat="1" ht="20.100000000000001" customHeight="1" x14ac:dyDescent="0.25">
      <c r="A39" s="11">
        <v>87</v>
      </c>
      <c r="B39" s="7">
        <v>45313</v>
      </c>
      <c r="C39" s="8" t="s">
        <v>155</v>
      </c>
      <c r="D39" s="8" t="s">
        <v>97</v>
      </c>
      <c r="E39" s="8" t="s">
        <v>118</v>
      </c>
      <c r="F39" s="8" t="s">
        <v>12</v>
      </c>
      <c r="G39" s="8" t="s">
        <v>23</v>
      </c>
      <c r="H39" s="14">
        <f>6353.4/108.1*100</f>
        <v>5877.3358001850138</v>
      </c>
      <c r="I39" s="9" t="s">
        <v>14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" customFormat="1" ht="20.100000000000001" customHeight="1" x14ac:dyDescent="0.25">
      <c r="A40" s="11">
        <v>751</v>
      </c>
      <c r="B40" s="7">
        <v>45502</v>
      </c>
      <c r="C40" s="8" t="s">
        <v>162</v>
      </c>
      <c r="D40" s="8" t="s">
        <v>163</v>
      </c>
      <c r="E40" s="8" t="s">
        <v>118</v>
      </c>
      <c r="F40" s="8" t="s">
        <v>12</v>
      </c>
      <c r="G40" s="8" t="s">
        <v>23</v>
      </c>
      <c r="H40" s="14">
        <f>62749.65/108.1*100</f>
        <v>58047.779833487519</v>
      </c>
      <c r="I40" s="9" t="s">
        <v>14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s="2" customFormat="1" ht="20.100000000000001" customHeight="1" x14ac:dyDescent="0.25">
      <c r="A41" s="11">
        <v>229</v>
      </c>
      <c r="B41" s="7">
        <v>45351</v>
      </c>
      <c r="C41" s="8" t="s">
        <v>154</v>
      </c>
      <c r="D41" s="8" t="s">
        <v>165</v>
      </c>
      <c r="E41" s="8" t="s">
        <v>117</v>
      </c>
      <c r="F41" s="8" t="s">
        <v>12</v>
      </c>
      <c r="G41" s="8" t="s">
        <v>23</v>
      </c>
      <c r="H41" s="14">
        <f>23328.4/108.1*100</f>
        <v>21580.388529139687</v>
      </c>
      <c r="I41" s="9" t="s">
        <v>14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" customFormat="1" ht="20.100000000000001" customHeight="1" x14ac:dyDescent="0.25">
      <c r="A42" s="11">
        <v>229</v>
      </c>
      <c r="B42" s="7">
        <v>45351</v>
      </c>
      <c r="C42" s="8" t="s">
        <v>154</v>
      </c>
      <c r="D42" s="8" t="s">
        <v>164</v>
      </c>
      <c r="E42" s="8" t="s">
        <v>117</v>
      </c>
      <c r="F42" s="8" t="s">
        <v>12</v>
      </c>
      <c r="G42" s="8" t="s">
        <v>23</v>
      </c>
      <c r="H42" s="14">
        <f>7011.45/108.1*100</f>
        <v>6486.0777058279364</v>
      </c>
      <c r="I42" s="9" t="s">
        <v>166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s="2" customFormat="1" ht="20.100000000000001" customHeight="1" x14ac:dyDescent="0.25">
      <c r="A43" s="11">
        <v>191</v>
      </c>
      <c r="B43" s="7">
        <v>45341</v>
      </c>
      <c r="C43" s="8" t="s">
        <v>153</v>
      </c>
      <c r="D43" s="8" t="s">
        <v>98</v>
      </c>
      <c r="E43" s="8" t="s">
        <v>117</v>
      </c>
      <c r="F43" s="8" t="s">
        <v>12</v>
      </c>
      <c r="G43" s="8" t="s">
        <v>23</v>
      </c>
      <c r="H43" s="14">
        <f>8658.85/108.1*100</f>
        <v>8010.0370027752087</v>
      </c>
      <c r="I43" s="9" t="s">
        <v>14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s="2" customFormat="1" ht="20.100000000000001" customHeight="1" x14ac:dyDescent="0.25">
      <c r="A44" s="11">
        <v>299</v>
      </c>
      <c r="B44" s="7">
        <v>45365</v>
      </c>
      <c r="C44" s="8" t="s">
        <v>167</v>
      </c>
      <c r="D44" s="8" t="s">
        <v>168</v>
      </c>
      <c r="E44" s="8" t="s">
        <v>117</v>
      </c>
      <c r="F44" s="8" t="s">
        <v>12</v>
      </c>
      <c r="G44" s="8" t="s">
        <v>23</v>
      </c>
      <c r="H44" s="21">
        <f>73277.2/108.1*100</f>
        <v>67786.493987049034</v>
      </c>
      <c r="I44" s="9" t="s">
        <v>14</v>
      </c>
      <c r="J44" s="2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s="2" customFormat="1" ht="20.100000000000001" customHeight="1" x14ac:dyDescent="0.25">
      <c r="A45" s="11">
        <v>867</v>
      </c>
      <c r="B45" s="7">
        <v>45547</v>
      </c>
      <c r="C45" s="8" t="s">
        <v>152</v>
      </c>
      <c r="D45" s="8" t="s">
        <v>99</v>
      </c>
      <c r="E45" s="8" t="s">
        <v>118</v>
      </c>
      <c r="F45" s="8" t="s">
        <v>12</v>
      </c>
      <c r="G45" s="8" t="s">
        <v>23</v>
      </c>
      <c r="H45" s="14">
        <f>12569/108.1*100</f>
        <v>11627.197039777984</v>
      </c>
      <c r="I45" s="9" t="s">
        <v>14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s="2" customFormat="1" ht="20.100000000000001" customHeight="1" x14ac:dyDescent="0.25">
      <c r="A46" s="11">
        <v>87</v>
      </c>
      <c r="B46" s="7">
        <v>45313</v>
      </c>
      <c r="C46" s="8" t="s">
        <v>151</v>
      </c>
      <c r="D46" s="8" t="s">
        <v>101</v>
      </c>
      <c r="E46" s="8" t="s">
        <v>117</v>
      </c>
      <c r="F46" s="8" t="s">
        <v>12</v>
      </c>
      <c r="G46" s="8" t="s">
        <v>23</v>
      </c>
      <c r="H46" s="14">
        <f>13728.7/108.1*100</f>
        <v>12700.000000000002</v>
      </c>
      <c r="I46" s="9" t="s">
        <v>14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s="2" customFormat="1" x14ac:dyDescent="0.25">
      <c r="A47" s="11">
        <v>643</v>
      </c>
      <c r="B47" s="7">
        <v>45462</v>
      </c>
      <c r="C47" s="8" t="s">
        <v>150</v>
      </c>
      <c r="D47" s="8" t="s">
        <v>100</v>
      </c>
      <c r="E47" s="8" t="s">
        <v>117</v>
      </c>
      <c r="F47" s="8" t="s">
        <v>12</v>
      </c>
      <c r="G47" s="19" t="s">
        <v>23</v>
      </c>
      <c r="H47" s="14">
        <f>8648/108.1*100</f>
        <v>8000</v>
      </c>
      <c r="I47" s="9" t="s">
        <v>14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s="2" customFormat="1" x14ac:dyDescent="0.25">
      <c r="A48" s="20">
        <v>178</v>
      </c>
      <c r="B48" s="7">
        <v>45341</v>
      </c>
      <c r="C48" s="8" t="s">
        <v>11</v>
      </c>
      <c r="D48" s="8" t="s">
        <v>34</v>
      </c>
      <c r="E48" s="8" t="s">
        <v>132</v>
      </c>
      <c r="F48" s="8" t="s">
        <v>12</v>
      </c>
      <c r="G48" s="19" t="s">
        <v>23</v>
      </c>
      <c r="H48" s="21">
        <v>11500</v>
      </c>
      <c r="I48" s="9" t="s">
        <v>14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s="2" customFormat="1" ht="20.100000000000001" customHeight="1" x14ac:dyDescent="0.25">
      <c r="A49" s="11">
        <v>653</v>
      </c>
      <c r="B49" s="7">
        <v>45474</v>
      </c>
      <c r="C49" s="8" t="s">
        <v>11</v>
      </c>
      <c r="D49" s="18" t="s">
        <v>32</v>
      </c>
      <c r="E49" s="8" t="s">
        <v>132</v>
      </c>
      <c r="F49" s="8" t="s">
        <v>12</v>
      </c>
      <c r="G49" s="19" t="s">
        <v>23</v>
      </c>
      <c r="H49" s="21">
        <f>8712.8/108.1*100</f>
        <v>8059.9444958371878</v>
      </c>
      <c r="I49" s="9" t="s">
        <v>14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s="2" customFormat="1" ht="20.100000000000001" customHeight="1" x14ac:dyDescent="0.25">
      <c r="A50" s="11">
        <v>765</v>
      </c>
      <c r="B50" s="7">
        <v>45523</v>
      </c>
      <c r="C50" s="8" t="s">
        <v>11</v>
      </c>
      <c r="D50" s="8" t="s">
        <v>33</v>
      </c>
      <c r="E50" s="8" t="s">
        <v>132</v>
      </c>
      <c r="F50" s="8" t="s">
        <v>12</v>
      </c>
      <c r="G50" s="19" t="s">
        <v>23</v>
      </c>
      <c r="H50" s="21">
        <f>6654.65/108.1*100</f>
        <v>6156.0129509713224</v>
      </c>
      <c r="I50" s="9" t="s">
        <v>14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s="2" customFormat="1" ht="20.100000000000001" customHeight="1" x14ac:dyDescent="0.25">
      <c r="A51" s="11">
        <v>587</v>
      </c>
      <c r="B51" s="7">
        <v>45449</v>
      </c>
      <c r="C51" s="8" t="s">
        <v>11</v>
      </c>
      <c r="D51" s="8" t="s">
        <v>170</v>
      </c>
      <c r="E51" s="8" t="s">
        <v>117</v>
      </c>
      <c r="F51" s="8" t="s">
        <v>12</v>
      </c>
      <c r="G51" s="19" t="s">
        <v>23</v>
      </c>
      <c r="H51" s="21">
        <f>8729.05/108.1*100</f>
        <v>8074.9768732654939</v>
      </c>
      <c r="I51" s="9" t="s">
        <v>14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s="2" customFormat="1" ht="20.100000000000001" customHeight="1" x14ac:dyDescent="0.25">
      <c r="A52" s="11">
        <v>707</v>
      </c>
      <c r="B52" s="7">
        <v>45488</v>
      </c>
      <c r="C52" s="8" t="s">
        <v>11</v>
      </c>
      <c r="D52" s="8" t="s">
        <v>169</v>
      </c>
      <c r="E52" s="8" t="s">
        <v>117</v>
      </c>
      <c r="F52" s="8" t="s">
        <v>12</v>
      </c>
      <c r="G52" s="19" t="s">
        <v>23</v>
      </c>
      <c r="H52" s="21">
        <f>18687.45/108.1*100</f>
        <v>17287.187789084182</v>
      </c>
      <c r="I52" s="9" t="s">
        <v>14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s="2" customFormat="1" ht="20.100000000000001" customHeight="1" x14ac:dyDescent="0.25">
      <c r="A53" s="11">
        <v>318</v>
      </c>
      <c r="B53" s="7">
        <v>45376</v>
      </c>
      <c r="C53" s="8" t="s">
        <v>149</v>
      </c>
      <c r="D53" s="8" t="s">
        <v>218</v>
      </c>
      <c r="E53" s="8" t="s">
        <v>117</v>
      </c>
      <c r="F53" s="8" t="s">
        <v>12</v>
      </c>
      <c r="G53" s="8" t="s">
        <v>23</v>
      </c>
      <c r="H53" s="14">
        <f>7830.65/108.1*100</f>
        <v>7243.8945420906566</v>
      </c>
      <c r="I53" s="9" t="s">
        <v>14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s="2" customFormat="1" ht="20.100000000000001" customHeight="1" x14ac:dyDescent="0.25">
      <c r="A54" s="11">
        <v>191</v>
      </c>
      <c r="B54" s="7">
        <v>45341</v>
      </c>
      <c r="C54" s="8" t="s">
        <v>148</v>
      </c>
      <c r="D54" s="8" t="s">
        <v>102</v>
      </c>
      <c r="E54" s="8" t="s">
        <v>117</v>
      </c>
      <c r="F54" s="8" t="s">
        <v>12</v>
      </c>
      <c r="G54" s="8" t="s">
        <v>23</v>
      </c>
      <c r="H54" s="14">
        <f>90718.2/108.1*100</f>
        <v>83920.629047178547</v>
      </c>
      <c r="I54" s="9" t="s">
        <v>14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s="2" customFormat="1" ht="20.100000000000001" customHeight="1" x14ac:dyDescent="0.25">
      <c r="A55" s="11">
        <v>229</v>
      </c>
      <c r="B55" s="7">
        <v>45351</v>
      </c>
      <c r="C55" s="8" t="s">
        <v>147</v>
      </c>
      <c r="D55" s="8" t="s">
        <v>103</v>
      </c>
      <c r="E55" s="8" t="s">
        <v>118</v>
      </c>
      <c r="F55" s="8" t="s">
        <v>12</v>
      </c>
      <c r="G55" s="8" t="s">
        <v>23</v>
      </c>
      <c r="H55" s="14">
        <f>24845.95/108.1*100</f>
        <v>22984.227567067534</v>
      </c>
      <c r="I55" s="9" t="s">
        <v>14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" customFormat="1" ht="20.100000000000001" customHeight="1" x14ac:dyDescent="0.25">
      <c r="A56" s="11">
        <v>346</v>
      </c>
      <c r="B56" s="7">
        <v>45390</v>
      </c>
      <c r="C56" s="8" t="s">
        <v>37</v>
      </c>
      <c r="D56" s="18" t="s">
        <v>35</v>
      </c>
      <c r="E56" s="8" t="s">
        <v>118</v>
      </c>
      <c r="F56" s="8" t="s">
        <v>12</v>
      </c>
      <c r="G56" s="19" t="s">
        <v>23</v>
      </c>
      <c r="H56" s="21">
        <f>5690.75/108.1*100</f>
        <v>5264.3385753931543</v>
      </c>
      <c r="I56" s="9" t="s">
        <v>14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s="2" customFormat="1" ht="20.100000000000001" customHeight="1" x14ac:dyDescent="0.25">
      <c r="A57" s="11">
        <v>656</v>
      </c>
      <c r="B57" s="7">
        <v>45474</v>
      </c>
      <c r="C57" s="8" t="s">
        <v>38</v>
      </c>
      <c r="D57" s="18" t="s">
        <v>36</v>
      </c>
      <c r="E57" s="8" t="s">
        <v>118</v>
      </c>
      <c r="F57" s="8" t="s">
        <v>12</v>
      </c>
      <c r="G57" s="19" t="s">
        <v>23</v>
      </c>
      <c r="H57" s="21">
        <v>5471.7</v>
      </c>
      <c r="I57" s="9" t="s">
        <v>14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" customFormat="1" ht="20.100000000000001" customHeight="1" x14ac:dyDescent="0.25">
      <c r="A58" s="11">
        <v>171</v>
      </c>
      <c r="B58" s="7">
        <v>45334</v>
      </c>
      <c r="C58" s="8" t="s">
        <v>146</v>
      </c>
      <c r="D58" s="8" t="s">
        <v>104</v>
      </c>
      <c r="E58" s="8" t="s">
        <v>117</v>
      </c>
      <c r="F58" s="8" t="s">
        <v>12</v>
      </c>
      <c r="G58" s="8" t="s">
        <v>23</v>
      </c>
      <c r="H58" s="14">
        <f>10642.6/108.1*100</f>
        <v>9845.1433857539323</v>
      </c>
      <c r="I58" s="9" t="s">
        <v>14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s="2" customFormat="1" ht="20.100000000000001" customHeight="1" x14ac:dyDescent="0.25">
      <c r="A59" s="11">
        <v>796</v>
      </c>
      <c r="B59" s="7">
        <v>45523</v>
      </c>
      <c r="C59" s="8" t="s">
        <v>145</v>
      </c>
      <c r="D59" s="8" t="s">
        <v>105</v>
      </c>
      <c r="E59" s="8" t="s">
        <v>117</v>
      </c>
      <c r="F59" s="8" t="s">
        <v>12</v>
      </c>
      <c r="G59" s="8" t="s">
        <v>23</v>
      </c>
      <c r="H59" s="14">
        <f>11523.45/108.1*100</f>
        <v>10659.990749306198</v>
      </c>
      <c r="I59" s="9" t="s">
        <v>14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" customFormat="1" ht="20.100000000000001" customHeight="1" x14ac:dyDescent="0.25">
      <c r="A60" s="20">
        <v>66</v>
      </c>
      <c r="B60" s="7">
        <v>45306</v>
      </c>
      <c r="C60" s="8" t="s">
        <v>144</v>
      </c>
      <c r="D60" s="18" t="s">
        <v>106</v>
      </c>
      <c r="E60" s="8" t="s">
        <v>117</v>
      </c>
      <c r="F60" s="8" t="s">
        <v>12</v>
      </c>
      <c r="G60" s="8" t="s">
        <v>23</v>
      </c>
      <c r="H60" s="14">
        <f>67047.95/108.1*100</f>
        <v>62024.005550416281</v>
      </c>
      <c r="I60" s="9" t="s">
        <v>14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s="2" customFormat="1" ht="20.100000000000001" customHeight="1" x14ac:dyDescent="0.25">
      <c r="A61" s="20">
        <v>707</v>
      </c>
      <c r="B61" s="7">
        <v>45488</v>
      </c>
      <c r="C61" s="8" t="s">
        <v>143</v>
      </c>
      <c r="D61" s="8" t="s">
        <v>107</v>
      </c>
      <c r="E61" s="8" t="s">
        <v>117</v>
      </c>
      <c r="F61" s="8" t="s">
        <v>12</v>
      </c>
      <c r="G61" s="8" t="s">
        <v>23</v>
      </c>
      <c r="H61" s="14">
        <f>60404.4/108.1*100</f>
        <v>55878.260869565223</v>
      </c>
      <c r="I61" s="9" t="s">
        <v>14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" customFormat="1" ht="20.100000000000001" customHeight="1" x14ac:dyDescent="0.25">
      <c r="A62" s="11">
        <v>1258</v>
      </c>
      <c r="B62" s="7">
        <v>45649</v>
      </c>
      <c r="C62" s="8" t="s">
        <v>142</v>
      </c>
      <c r="D62" s="8" t="s">
        <v>108</v>
      </c>
      <c r="E62" s="8" t="s">
        <v>117</v>
      </c>
      <c r="F62" s="8" t="s">
        <v>12</v>
      </c>
      <c r="G62" s="8" t="s">
        <v>23</v>
      </c>
      <c r="H62" s="14">
        <f>6486/108.1*100</f>
        <v>6000</v>
      </c>
      <c r="I62" s="9" t="s">
        <v>14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s="2" customFormat="1" ht="20.100000000000001" customHeight="1" x14ac:dyDescent="0.25">
      <c r="A63" s="11">
        <v>229</v>
      </c>
      <c r="B63" s="7">
        <v>45351</v>
      </c>
      <c r="C63" s="8" t="s">
        <v>142</v>
      </c>
      <c r="D63" s="8" t="s">
        <v>134</v>
      </c>
      <c r="E63" s="8" t="s">
        <v>117</v>
      </c>
      <c r="F63" s="8" t="s">
        <v>12</v>
      </c>
      <c r="G63" s="8" t="s">
        <v>23</v>
      </c>
      <c r="H63" s="14">
        <f>10810/108.1*100</f>
        <v>10000</v>
      </c>
      <c r="I63" s="9" t="s">
        <v>14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" customFormat="1" ht="20.100000000000001" customHeight="1" x14ac:dyDescent="0.25">
      <c r="A64" s="11">
        <v>171</v>
      </c>
      <c r="B64" s="7">
        <v>45334</v>
      </c>
      <c r="C64" s="8" t="s">
        <v>141</v>
      </c>
      <c r="D64" s="8" t="s">
        <v>109</v>
      </c>
      <c r="E64" s="8" t="s">
        <v>118</v>
      </c>
      <c r="F64" s="8" t="s">
        <v>12</v>
      </c>
      <c r="G64" s="8" t="s">
        <v>23</v>
      </c>
      <c r="H64" s="14">
        <f>7392/108.1*100</f>
        <v>6838.1128584643848</v>
      </c>
      <c r="I64" s="9" t="s">
        <v>14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s="2" customFormat="1" x14ac:dyDescent="0.25">
      <c r="A65" s="11">
        <v>344</v>
      </c>
      <c r="B65" s="7">
        <v>45390</v>
      </c>
      <c r="C65" s="8" t="s">
        <v>39</v>
      </c>
      <c r="D65" s="8" t="s">
        <v>40</v>
      </c>
      <c r="E65" s="8" t="s">
        <v>132</v>
      </c>
      <c r="F65" s="8" t="s">
        <v>13</v>
      </c>
      <c r="G65" s="19" t="s">
        <v>18</v>
      </c>
      <c r="H65" s="14">
        <f>215552.05/108.1*100</f>
        <v>199400.60129509715</v>
      </c>
      <c r="I65" s="9" t="s">
        <v>14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" customFormat="1" ht="20.100000000000001" customHeight="1" x14ac:dyDescent="0.25">
      <c r="A66" s="11">
        <v>171</v>
      </c>
      <c r="B66" s="7">
        <v>45334</v>
      </c>
      <c r="C66" s="8" t="s">
        <v>140</v>
      </c>
      <c r="D66" s="8" t="s">
        <v>110</v>
      </c>
      <c r="E66" s="8" t="s">
        <v>118</v>
      </c>
      <c r="F66" s="8" t="s">
        <v>12</v>
      </c>
      <c r="G66" s="8" t="s">
        <v>23</v>
      </c>
      <c r="H66" s="14">
        <f>18621.67/108.1*100</f>
        <v>17226.336725254394</v>
      </c>
      <c r="I66" s="9" t="s">
        <v>14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s="2" customFormat="1" ht="20.100000000000001" customHeight="1" x14ac:dyDescent="0.25">
      <c r="A67" s="11">
        <v>734</v>
      </c>
      <c r="B67" s="7">
        <v>45502</v>
      </c>
      <c r="C67" s="8" t="s">
        <v>41</v>
      </c>
      <c r="D67" s="8" t="s">
        <v>42</v>
      </c>
      <c r="E67" s="8" t="s">
        <v>117</v>
      </c>
      <c r="F67" s="8" t="s">
        <v>13</v>
      </c>
      <c r="G67" s="8" t="s">
        <v>18</v>
      </c>
      <c r="H67" s="14">
        <f>29000/108.1*100</f>
        <v>26827.012025901946</v>
      </c>
      <c r="I67" s="9" t="s">
        <v>14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" customFormat="1" ht="20.100000000000001" customHeight="1" x14ac:dyDescent="0.25">
      <c r="A68" s="11">
        <v>847</v>
      </c>
      <c r="B68" s="7">
        <v>45547</v>
      </c>
      <c r="C68" s="8" t="s">
        <v>41</v>
      </c>
      <c r="D68" s="8" t="s">
        <v>43</v>
      </c>
      <c r="E68" s="8" t="s">
        <v>117</v>
      </c>
      <c r="F68" s="8" t="s">
        <v>12</v>
      </c>
      <c r="G68" s="19" t="s">
        <v>23</v>
      </c>
      <c r="H68" s="14">
        <f>11000/108.1*100</f>
        <v>10175.763182238668</v>
      </c>
      <c r="I68" s="9" t="s">
        <v>14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s="2" customFormat="1" ht="20.100000000000001" customHeight="1" x14ac:dyDescent="0.25">
      <c r="A69" s="11">
        <v>1225</v>
      </c>
      <c r="B69" s="7">
        <v>45638</v>
      </c>
      <c r="C69" s="8" t="s">
        <v>139</v>
      </c>
      <c r="D69" s="8" t="s">
        <v>111</v>
      </c>
      <c r="E69" s="8" t="s">
        <v>133</v>
      </c>
      <c r="F69" s="8" t="s">
        <v>12</v>
      </c>
      <c r="G69" s="8" t="s">
        <v>23</v>
      </c>
      <c r="H69" s="14">
        <f>23887.8/108.1*100</f>
        <v>22097.872340425532</v>
      </c>
      <c r="I69" s="9" t="s">
        <v>14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" customFormat="1" ht="20.100000000000001" customHeight="1" x14ac:dyDescent="0.25">
      <c r="A70" s="11">
        <v>1225</v>
      </c>
      <c r="B70" s="7">
        <v>45638</v>
      </c>
      <c r="C70" s="8" t="s">
        <v>139</v>
      </c>
      <c r="D70" s="8" t="s">
        <v>92</v>
      </c>
      <c r="E70" s="8" t="s">
        <v>133</v>
      </c>
      <c r="F70" s="8" t="s">
        <v>12</v>
      </c>
      <c r="G70" s="8" t="s">
        <v>23</v>
      </c>
      <c r="H70" s="14">
        <f>16151.3/108.1*100</f>
        <v>14941.073080481036</v>
      </c>
      <c r="I70" s="9" t="s">
        <v>14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s="2" customFormat="1" ht="20.100000000000001" customHeight="1" x14ac:dyDescent="0.25">
      <c r="A71" s="11">
        <v>1069</v>
      </c>
      <c r="B71" s="7">
        <v>45603</v>
      </c>
      <c r="C71" s="8" t="s">
        <v>138</v>
      </c>
      <c r="D71" s="8" t="s">
        <v>112</v>
      </c>
      <c r="E71" s="8" t="s">
        <v>117</v>
      </c>
      <c r="F71" s="8" t="s">
        <v>12</v>
      </c>
      <c r="G71" s="8" t="s">
        <v>23</v>
      </c>
      <c r="H71" s="14">
        <f>6669.7/108.1*100</f>
        <v>6169.9352451433861</v>
      </c>
      <c r="I71" s="9" t="s">
        <v>14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" customFormat="1" ht="20.100000000000001" customHeight="1" x14ac:dyDescent="0.25">
      <c r="A72" s="20">
        <v>229</v>
      </c>
      <c r="B72" s="7">
        <v>45351</v>
      </c>
      <c r="C72" s="8" t="s">
        <v>171</v>
      </c>
      <c r="D72" s="8" t="s">
        <v>172</v>
      </c>
      <c r="E72" s="8" t="s">
        <v>118</v>
      </c>
      <c r="F72" s="8" t="s">
        <v>12</v>
      </c>
      <c r="G72" s="8" t="s">
        <v>23</v>
      </c>
      <c r="H72" s="14">
        <f>18913.7/108.1*100</f>
        <v>17496.484736355229</v>
      </c>
      <c r="I72" s="9" t="s">
        <v>14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s="2" customFormat="1" ht="20.100000000000001" customHeight="1" x14ac:dyDescent="0.25">
      <c r="A73" s="11">
        <v>343</v>
      </c>
      <c r="B73" s="7">
        <v>45390</v>
      </c>
      <c r="C73" s="8" t="s">
        <v>44</v>
      </c>
      <c r="D73" s="8" t="s">
        <v>45</v>
      </c>
      <c r="E73" s="8" t="s">
        <v>117</v>
      </c>
      <c r="F73" s="8" t="s">
        <v>12</v>
      </c>
      <c r="G73" s="8" t="s">
        <v>23</v>
      </c>
      <c r="H73" s="14">
        <v>34900</v>
      </c>
      <c r="I73" s="9" t="s">
        <v>14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" customFormat="1" ht="20.100000000000001" customHeight="1" x14ac:dyDescent="0.25">
      <c r="A74" s="20">
        <v>87</v>
      </c>
      <c r="B74" s="7">
        <v>45313</v>
      </c>
      <c r="C74" s="8" t="s">
        <v>173</v>
      </c>
      <c r="D74" s="8" t="s">
        <v>174</v>
      </c>
      <c r="E74" s="8" t="s">
        <v>117</v>
      </c>
      <c r="F74" s="8" t="s">
        <v>12</v>
      </c>
      <c r="G74" s="19" t="s">
        <v>23</v>
      </c>
      <c r="H74" s="14">
        <f>5894.6/108.1*100</f>
        <v>5452.9139685476412</v>
      </c>
      <c r="I74" s="9" t="s">
        <v>14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s="2" customFormat="1" ht="20.100000000000001" customHeight="1" x14ac:dyDescent="0.25">
      <c r="A75" s="11">
        <v>475</v>
      </c>
      <c r="B75" s="7">
        <v>45418</v>
      </c>
      <c r="C75" s="8" t="s">
        <v>137</v>
      </c>
      <c r="D75" s="8" t="s">
        <v>113</v>
      </c>
      <c r="E75" s="8" t="s">
        <v>117</v>
      </c>
      <c r="F75" s="8" t="s">
        <v>12</v>
      </c>
      <c r="G75" s="19" t="s">
        <v>23</v>
      </c>
      <c r="H75" s="14">
        <f>10548.3/108.1*100</f>
        <v>9757.9093432007394</v>
      </c>
      <c r="I75" s="9" t="s">
        <v>14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" customFormat="1" ht="20.100000000000001" customHeight="1" x14ac:dyDescent="0.25">
      <c r="A76" s="11">
        <v>824</v>
      </c>
      <c r="B76" s="7">
        <v>45533</v>
      </c>
      <c r="C76" s="8" t="s">
        <v>175</v>
      </c>
      <c r="D76" s="8" t="s">
        <v>176</v>
      </c>
      <c r="E76" s="8" t="s">
        <v>118</v>
      </c>
      <c r="F76" s="8" t="s">
        <v>12</v>
      </c>
      <c r="G76" s="8" t="s">
        <v>23</v>
      </c>
      <c r="H76" s="14">
        <f>6675.2/108.1*100</f>
        <v>6175.0231267345052</v>
      </c>
      <c r="I76" s="9" t="s">
        <v>14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s="2" customFormat="1" ht="20.100000000000001" customHeight="1" x14ac:dyDescent="0.25">
      <c r="A77" s="20">
        <v>1127</v>
      </c>
      <c r="B77" s="7">
        <v>45621</v>
      </c>
      <c r="C77" s="8" t="s">
        <v>177</v>
      </c>
      <c r="D77" s="8" t="s">
        <v>178</v>
      </c>
      <c r="E77" s="8" t="s">
        <v>117</v>
      </c>
      <c r="F77" s="8" t="s">
        <v>12</v>
      </c>
      <c r="G77" s="19" t="s">
        <v>23</v>
      </c>
      <c r="H77" s="14">
        <f>6457.8/108.1*100</f>
        <v>5973.9130434782619</v>
      </c>
      <c r="I77" s="9" t="s">
        <v>14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s="2" customFormat="1" ht="20.100000000000001" customHeight="1" x14ac:dyDescent="0.25">
      <c r="A78" s="11">
        <v>602</v>
      </c>
      <c r="B78" s="7">
        <v>45460</v>
      </c>
      <c r="C78" s="10" t="s">
        <v>48</v>
      </c>
      <c r="D78" s="8" t="s">
        <v>49</v>
      </c>
      <c r="E78" s="8" t="s">
        <v>132</v>
      </c>
      <c r="F78" s="8" t="s">
        <v>13</v>
      </c>
      <c r="G78" s="19" t="s">
        <v>18</v>
      </c>
      <c r="H78" s="14">
        <v>12000</v>
      </c>
      <c r="I78" s="9" t="s">
        <v>14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s="2" customFormat="1" ht="20.100000000000001" customHeight="1" x14ac:dyDescent="0.25">
      <c r="A79" s="11">
        <v>598</v>
      </c>
      <c r="B79" s="7">
        <v>45460</v>
      </c>
      <c r="C79" s="10" t="s">
        <v>48</v>
      </c>
      <c r="D79" s="8" t="s">
        <v>49</v>
      </c>
      <c r="E79" s="8" t="s">
        <v>132</v>
      </c>
      <c r="F79" s="8" t="s">
        <v>13</v>
      </c>
      <c r="G79" s="19" t="s">
        <v>18</v>
      </c>
      <c r="H79" s="14">
        <f>26500/108.1*100</f>
        <v>24514.338575393158</v>
      </c>
      <c r="I79" s="9" t="s">
        <v>14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 s="2" customFormat="1" ht="20.100000000000001" customHeight="1" x14ac:dyDescent="0.25">
      <c r="A80" s="11">
        <v>970</v>
      </c>
      <c r="B80" s="22">
        <v>45586</v>
      </c>
      <c r="C80" s="10" t="s">
        <v>48</v>
      </c>
      <c r="D80" s="10" t="s">
        <v>50</v>
      </c>
      <c r="E80" s="10" t="s">
        <v>132</v>
      </c>
      <c r="F80" s="10" t="s">
        <v>13</v>
      </c>
      <c r="G80" s="19" t="s">
        <v>18</v>
      </c>
      <c r="H80" s="24">
        <f>113022.3/108.1*100</f>
        <v>104553.46901017576</v>
      </c>
      <c r="I80" s="25" t="s">
        <v>14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:22" s="2" customFormat="1" ht="20.100000000000001" customHeight="1" x14ac:dyDescent="0.25">
      <c r="A81" s="11">
        <v>76</v>
      </c>
      <c r="B81" s="7">
        <v>45313</v>
      </c>
      <c r="C81" s="10" t="s">
        <v>48</v>
      </c>
      <c r="D81" s="8" t="s">
        <v>70</v>
      </c>
      <c r="E81" s="8" t="s">
        <v>132</v>
      </c>
      <c r="F81" s="8" t="s">
        <v>12</v>
      </c>
      <c r="G81" s="8" t="s">
        <v>23</v>
      </c>
      <c r="H81" s="14">
        <v>10400</v>
      </c>
      <c r="I81" s="9" t="s">
        <v>14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s="2" customFormat="1" ht="20.100000000000001" customHeight="1" x14ac:dyDescent="0.25">
      <c r="A82" s="11">
        <v>1064</v>
      </c>
      <c r="B82" s="7">
        <v>45603</v>
      </c>
      <c r="C82" s="8" t="s">
        <v>136</v>
      </c>
      <c r="D82" s="8" t="s">
        <v>224</v>
      </c>
      <c r="E82" s="8" t="s">
        <v>118</v>
      </c>
      <c r="F82" s="8" t="s">
        <v>12</v>
      </c>
      <c r="G82" s="8" t="s">
        <v>23</v>
      </c>
      <c r="H82" s="14">
        <f>7120.45/108.1*100</f>
        <v>6586.9102682701214</v>
      </c>
      <c r="I82" s="9" t="s">
        <v>14</v>
      </c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s="2" customFormat="1" ht="20.100000000000001" customHeight="1" x14ac:dyDescent="0.25">
      <c r="A83" s="11">
        <v>113</v>
      </c>
      <c r="B83" s="7">
        <v>45320</v>
      </c>
      <c r="C83" s="8" t="s">
        <v>135</v>
      </c>
      <c r="D83" s="8" t="s">
        <v>114</v>
      </c>
      <c r="E83" s="8" t="s">
        <v>117</v>
      </c>
      <c r="F83" s="8" t="s">
        <v>12</v>
      </c>
      <c r="G83" s="8" t="s">
        <v>23</v>
      </c>
      <c r="H83" s="14">
        <f>90251.45/108.1*100</f>
        <v>83488.852913968556</v>
      </c>
      <c r="I83" s="9" t="s">
        <v>14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 s="2" customFormat="1" ht="20.100000000000001" customHeight="1" x14ac:dyDescent="0.25">
      <c r="A84" s="11">
        <v>344</v>
      </c>
      <c r="B84" s="7">
        <v>45390</v>
      </c>
      <c r="C84" s="8" t="s">
        <v>46</v>
      </c>
      <c r="D84" s="8" t="s">
        <v>47</v>
      </c>
      <c r="E84" s="8" t="s">
        <v>118</v>
      </c>
      <c r="F84" s="8" t="s">
        <v>12</v>
      </c>
      <c r="G84" s="8" t="s">
        <v>23</v>
      </c>
      <c r="H84" s="14">
        <f>57913.56/108.1*100</f>
        <v>53574.061054579091</v>
      </c>
      <c r="I84" s="9" t="s">
        <v>14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s="2" customFormat="1" ht="20.100000000000001" customHeight="1" x14ac:dyDescent="0.25">
      <c r="A85" s="11">
        <v>229</v>
      </c>
      <c r="B85" s="7">
        <v>45351</v>
      </c>
      <c r="C85" s="8" t="s">
        <v>179</v>
      </c>
      <c r="D85" s="8" t="s">
        <v>180</v>
      </c>
      <c r="E85" s="8" t="s">
        <v>117</v>
      </c>
      <c r="F85" s="8" t="s">
        <v>12</v>
      </c>
      <c r="G85" s="8" t="s">
        <v>23</v>
      </c>
      <c r="H85" s="14">
        <f>8035.8/108.1*100</f>
        <v>7433.6725254394078</v>
      </c>
      <c r="I85" s="9" t="s">
        <v>14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s="2" customFormat="1" ht="20.100000000000001" customHeight="1" x14ac:dyDescent="0.25">
      <c r="A86" s="11">
        <v>1225</v>
      </c>
      <c r="B86" s="7">
        <v>45638</v>
      </c>
      <c r="C86" s="8" t="s">
        <v>179</v>
      </c>
      <c r="D86" s="8" t="s">
        <v>181</v>
      </c>
      <c r="E86" s="8" t="s">
        <v>117</v>
      </c>
      <c r="F86" s="8" t="s">
        <v>12</v>
      </c>
      <c r="G86" s="8" t="s">
        <v>23</v>
      </c>
      <c r="H86" s="14">
        <f>6486/108.1*100</f>
        <v>6000</v>
      </c>
      <c r="I86" s="9" t="s">
        <v>14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 s="2" customFormat="1" ht="20.100000000000001" customHeight="1" x14ac:dyDescent="0.25">
      <c r="A87" s="11">
        <v>318</v>
      </c>
      <c r="B87" s="7">
        <v>45376</v>
      </c>
      <c r="C87" s="8" t="s">
        <v>183</v>
      </c>
      <c r="D87" s="8" t="s">
        <v>182</v>
      </c>
      <c r="E87" s="8" t="s">
        <v>117</v>
      </c>
      <c r="F87" s="8" t="s">
        <v>12</v>
      </c>
      <c r="G87" s="8" t="s">
        <v>23</v>
      </c>
      <c r="H87" s="14">
        <f>12677.95/108.1*100</f>
        <v>11727.983348751159</v>
      </c>
      <c r="I87" s="9" t="s">
        <v>14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" customFormat="1" ht="20.100000000000001" customHeight="1" x14ac:dyDescent="0.25">
      <c r="A88" s="11">
        <v>1258</v>
      </c>
      <c r="B88" s="7">
        <v>45649</v>
      </c>
      <c r="C88" s="8" t="s">
        <v>184</v>
      </c>
      <c r="D88" s="8" t="s">
        <v>185</v>
      </c>
      <c r="E88" s="8" t="s">
        <v>117</v>
      </c>
      <c r="F88" s="8" t="s">
        <v>12</v>
      </c>
      <c r="G88" s="8" t="s">
        <v>23</v>
      </c>
      <c r="H88" s="14">
        <f>43402.3/108.1*100</f>
        <v>40150.138760407041</v>
      </c>
      <c r="I88" s="9" t="s">
        <v>14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s="2" customFormat="1" ht="20.100000000000001" customHeight="1" x14ac:dyDescent="0.25">
      <c r="A89" s="32">
        <v>171</v>
      </c>
      <c r="B89" s="7">
        <v>45334</v>
      </c>
      <c r="C89" s="8" t="s">
        <v>186</v>
      </c>
      <c r="D89" s="8" t="s">
        <v>187</v>
      </c>
      <c r="E89" s="8" t="s">
        <v>117</v>
      </c>
      <c r="F89" s="8" t="s">
        <v>12</v>
      </c>
      <c r="G89" s="19" t="s">
        <v>23</v>
      </c>
      <c r="H89" s="14">
        <f>59471.6/108.1*100</f>
        <v>55015.356151711378</v>
      </c>
      <c r="I89" s="9" t="s">
        <v>14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" customFormat="1" ht="20.100000000000001" customHeight="1" x14ac:dyDescent="0.25">
      <c r="A90" s="11">
        <v>1179</v>
      </c>
      <c r="B90" s="7">
        <v>45631</v>
      </c>
      <c r="C90" s="8" t="s">
        <v>188</v>
      </c>
      <c r="D90" s="8" t="s">
        <v>189</v>
      </c>
      <c r="E90" s="8" t="s">
        <v>133</v>
      </c>
      <c r="F90" s="8" t="s">
        <v>12</v>
      </c>
      <c r="G90" s="19" t="s">
        <v>23</v>
      </c>
      <c r="H90" s="14">
        <f>11189.5/108.1*100</f>
        <v>10351.063829787236</v>
      </c>
      <c r="I90" s="9" t="s">
        <v>14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s="2" customFormat="1" ht="20.100000000000001" customHeight="1" x14ac:dyDescent="0.25">
      <c r="A91" s="11">
        <v>970</v>
      </c>
      <c r="B91" s="7">
        <v>45586</v>
      </c>
      <c r="C91" s="8" t="s">
        <v>61</v>
      </c>
      <c r="D91" s="8" t="s">
        <v>51</v>
      </c>
      <c r="E91" s="8" t="s">
        <v>133</v>
      </c>
      <c r="F91" s="8" t="s">
        <v>12</v>
      </c>
      <c r="G91" s="19" t="s">
        <v>26</v>
      </c>
      <c r="H91" s="14">
        <f>24345.2/108.1*100</f>
        <v>22520.999074930623</v>
      </c>
      <c r="I91" s="9" t="s">
        <v>14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" customFormat="1" ht="19.5" customHeight="1" x14ac:dyDescent="0.25">
      <c r="A92" s="11">
        <v>378</v>
      </c>
      <c r="B92" s="7">
        <v>45390</v>
      </c>
      <c r="C92" s="8" t="s">
        <v>190</v>
      </c>
      <c r="D92" s="8" t="s">
        <v>191</v>
      </c>
      <c r="E92" s="8" t="s">
        <v>117</v>
      </c>
      <c r="F92" s="8" t="s">
        <v>12</v>
      </c>
      <c r="G92" s="19" t="s">
        <v>23</v>
      </c>
      <c r="H92" s="14">
        <f>12132.75/108.1*100</f>
        <v>11223.635522664201</v>
      </c>
      <c r="I92" s="9" t="s">
        <v>14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s="2" customFormat="1" ht="19.5" customHeight="1" x14ac:dyDescent="0.25">
      <c r="A93" s="11">
        <v>174</v>
      </c>
      <c r="B93" s="7">
        <v>45341</v>
      </c>
      <c r="C93" s="8" t="s">
        <v>227</v>
      </c>
      <c r="D93" s="8" t="s">
        <v>228</v>
      </c>
      <c r="E93" s="8" t="s">
        <v>117</v>
      </c>
      <c r="F93" s="8" t="s">
        <v>13</v>
      </c>
      <c r="G93" s="19" t="s">
        <v>18</v>
      </c>
      <c r="H93" s="14">
        <f>(10799.15+188.05)/108.1*100</f>
        <v>10163.922294172062</v>
      </c>
      <c r="I93" s="9" t="s">
        <v>14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" customFormat="1" ht="20.100000000000001" customHeight="1" x14ac:dyDescent="0.25">
      <c r="A94" s="11">
        <v>174</v>
      </c>
      <c r="B94" s="7">
        <v>45341</v>
      </c>
      <c r="C94" s="8" t="s">
        <v>225</v>
      </c>
      <c r="D94" s="8" t="s">
        <v>226</v>
      </c>
      <c r="E94" s="8" t="s">
        <v>117</v>
      </c>
      <c r="F94" s="8" t="s">
        <v>13</v>
      </c>
      <c r="G94" s="19" t="s">
        <v>18</v>
      </c>
      <c r="H94" s="14">
        <f>10420.55/108.1*100</f>
        <v>9639.7317298797407</v>
      </c>
      <c r="I94" s="9" t="s">
        <v>14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1:22" s="2" customFormat="1" x14ac:dyDescent="0.25">
      <c r="A95" s="11">
        <v>867</v>
      </c>
      <c r="B95" s="7">
        <v>45544</v>
      </c>
      <c r="C95" s="8" t="s">
        <v>192</v>
      </c>
      <c r="D95" s="8" t="s">
        <v>193</v>
      </c>
      <c r="E95" s="8" t="s">
        <v>118</v>
      </c>
      <c r="F95" s="8" t="s">
        <v>12</v>
      </c>
      <c r="G95" s="19" t="s">
        <v>23</v>
      </c>
      <c r="H95" s="14">
        <f>98298.3/108.1*100</f>
        <v>90932.747456059209</v>
      </c>
      <c r="I95" s="9" t="s">
        <v>14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" customFormat="1" ht="20.100000000000001" customHeight="1" x14ac:dyDescent="0.25">
      <c r="A96" s="11">
        <v>707</v>
      </c>
      <c r="B96" s="22">
        <v>45458</v>
      </c>
      <c r="C96" s="8" t="s">
        <v>194</v>
      </c>
      <c r="D96" s="8" t="s">
        <v>216</v>
      </c>
      <c r="E96" s="8" t="s">
        <v>127</v>
      </c>
      <c r="F96" s="8" t="s">
        <v>12</v>
      </c>
      <c r="G96" s="19" t="s">
        <v>23</v>
      </c>
      <c r="H96" s="21">
        <f>6441.25/108.1*100</f>
        <v>5958.603145235893</v>
      </c>
      <c r="I96" s="9" t="s">
        <v>14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s="2" customFormat="1" ht="20.100000000000001" customHeight="1" x14ac:dyDescent="0.25">
      <c r="A97" s="11">
        <v>191</v>
      </c>
      <c r="B97" s="7">
        <v>45341</v>
      </c>
      <c r="C97" s="8" t="s">
        <v>195</v>
      </c>
      <c r="D97" s="8" t="s">
        <v>196</v>
      </c>
      <c r="E97" s="8" t="s">
        <v>117</v>
      </c>
      <c r="F97" s="8" t="s">
        <v>12</v>
      </c>
      <c r="G97" s="19" t="s">
        <v>23</v>
      </c>
      <c r="H97" s="14">
        <f>40000/108.1*100</f>
        <v>37002.775208140607</v>
      </c>
      <c r="I97" s="9" t="s">
        <v>14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" customFormat="1" ht="20.100000000000001" customHeight="1" x14ac:dyDescent="0.25">
      <c r="A98" s="11">
        <v>87</v>
      </c>
      <c r="B98" s="7">
        <v>45313</v>
      </c>
      <c r="C98" s="8" t="s">
        <v>197</v>
      </c>
      <c r="D98" s="8" t="s">
        <v>198</v>
      </c>
      <c r="E98" s="8" t="s">
        <v>118</v>
      </c>
      <c r="F98" s="8" t="s">
        <v>12</v>
      </c>
      <c r="G98" s="19" t="s">
        <v>23</v>
      </c>
      <c r="H98" s="14">
        <f>13112.12/108.1*100</f>
        <v>12129.620721554118</v>
      </c>
      <c r="I98" s="9" t="s">
        <v>14</v>
      </c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s="2" customFormat="1" ht="20.100000000000001" customHeight="1" x14ac:dyDescent="0.25">
      <c r="A99" s="11">
        <v>154</v>
      </c>
      <c r="B99" s="7">
        <v>45334</v>
      </c>
      <c r="C99" s="8" t="s">
        <v>52</v>
      </c>
      <c r="D99" s="8" t="s">
        <v>67</v>
      </c>
      <c r="E99" s="8" t="s">
        <v>118</v>
      </c>
      <c r="F99" s="8" t="s">
        <v>12</v>
      </c>
      <c r="G99" s="19" t="s">
        <v>23</v>
      </c>
      <c r="H99" s="14">
        <v>5415</v>
      </c>
      <c r="I99" s="9" t="s">
        <v>14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" customFormat="1" ht="20.100000000000001" customHeight="1" x14ac:dyDescent="0.25">
      <c r="A100" s="11">
        <v>344</v>
      </c>
      <c r="B100" s="7">
        <v>45390</v>
      </c>
      <c r="C100" s="8" t="s">
        <v>52</v>
      </c>
      <c r="D100" s="8" t="s">
        <v>53</v>
      </c>
      <c r="E100" s="8" t="s">
        <v>132</v>
      </c>
      <c r="F100" s="8" t="s">
        <v>13</v>
      </c>
      <c r="G100" s="19" t="s">
        <v>18</v>
      </c>
      <c r="H100" s="14">
        <f>70778.4/108.1*100</f>
        <v>65474.930619796491</v>
      </c>
      <c r="I100" s="9" t="s">
        <v>14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s="2" customFormat="1" ht="20.100000000000001" customHeight="1" x14ac:dyDescent="0.25">
      <c r="A101" s="11">
        <v>344</v>
      </c>
      <c r="B101" s="7">
        <v>45390</v>
      </c>
      <c r="C101" s="8" t="s">
        <v>52</v>
      </c>
      <c r="D101" s="8" t="s">
        <v>54</v>
      </c>
      <c r="E101" s="8" t="s">
        <v>132</v>
      </c>
      <c r="F101" s="8" t="s">
        <v>13</v>
      </c>
      <c r="G101" s="19" t="s">
        <v>18</v>
      </c>
      <c r="H101" s="14">
        <f>168400.55/108.1*100</f>
        <v>155782.19241443108</v>
      </c>
      <c r="I101" s="9" t="s">
        <v>14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" customFormat="1" x14ac:dyDescent="0.25">
      <c r="A102" s="11">
        <v>347</v>
      </c>
      <c r="B102" s="7">
        <v>45390</v>
      </c>
      <c r="C102" s="8" t="s">
        <v>52</v>
      </c>
      <c r="D102" s="8" t="s">
        <v>55</v>
      </c>
      <c r="E102" s="8" t="s">
        <v>132</v>
      </c>
      <c r="F102" s="8" t="s">
        <v>13</v>
      </c>
      <c r="G102" s="19" t="s">
        <v>18</v>
      </c>
      <c r="H102" s="14">
        <v>205123.15</v>
      </c>
      <c r="I102" s="9" t="s">
        <v>14</v>
      </c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s="2" customFormat="1" x14ac:dyDescent="0.25">
      <c r="A103" s="11">
        <v>624</v>
      </c>
      <c r="B103" s="7">
        <v>45467</v>
      </c>
      <c r="C103" s="8" t="s">
        <v>73</v>
      </c>
      <c r="D103" s="8" t="s">
        <v>74</v>
      </c>
      <c r="E103" s="8" t="s">
        <v>133</v>
      </c>
      <c r="F103" s="10" t="s">
        <v>12</v>
      </c>
      <c r="G103" s="19" t="s">
        <v>23</v>
      </c>
      <c r="H103" s="14">
        <f>9401.6/108.1*100</f>
        <v>8697.1322849213684</v>
      </c>
      <c r="I103" s="9" t="s">
        <v>14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" customFormat="1" x14ac:dyDescent="0.25">
      <c r="A104" s="11">
        <v>728</v>
      </c>
      <c r="B104" s="7">
        <v>45495</v>
      </c>
      <c r="C104" s="8" t="s">
        <v>199</v>
      </c>
      <c r="D104" s="8" t="s">
        <v>200</v>
      </c>
      <c r="E104" s="8" t="s">
        <v>117</v>
      </c>
      <c r="F104" s="8" t="s">
        <v>12</v>
      </c>
      <c r="G104" s="19" t="s">
        <v>23</v>
      </c>
      <c r="H104" s="14">
        <f>87234.83/108.1*100</f>
        <v>80698.270120259025</v>
      </c>
      <c r="I104" s="9" t="s">
        <v>14</v>
      </c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s="2" customFormat="1" x14ac:dyDescent="0.25">
      <c r="A105" s="11">
        <v>728</v>
      </c>
      <c r="B105" s="7">
        <v>45495</v>
      </c>
      <c r="C105" s="8" t="s">
        <v>201</v>
      </c>
      <c r="D105" s="8" t="s">
        <v>202</v>
      </c>
      <c r="E105" s="8" t="s">
        <v>117</v>
      </c>
      <c r="F105" s="8" t="s">
        <v>12</v>
      </c>
      <c r="G105" s="19" t="s">
        <v>23</v>
      </c>
      <c r="H105" s="14">
        <f>16000/108.1*100</f>
        <v>14801.110083256244</v>
      </c>
      <c r="I105" s="9" t="s">
        <v>14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" customFormat="1" x14ac:dyDescent="0.25">
      <c r="A106" s="11">
        <v>141</v>
      </c>
      <c r="B106" s="7">
        <v>45327</v>
      </c>
      <c r="C106" s="8" t="s">
        <v>203</v>
      </c>
      <c r="D106" s="8" t="s">
        <v>204</v>
      </c>
      <c r="E106" s="8" t="s">
        <v>117</v>
      </c>
      <c r="F106" s="8" t="s">
        <v>12</v>
      </c>
      <c r="G106" s="19" t="s">
        <v>23</v>
      </c>
      <c r="H106" s="14">
        <f>10000/108.1*100</f>
        <v>9250.6938020351517</v>
      </c>
      <c r="I106" s="9" t="s">
        <v>14</v>
      </c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s="2" customFormat="1" ht="20.100000000000001" customHeight="1" x14ac:dyDescent="0.25">
      <c r="A107" s="11">
        <v>351</v>
      </c>
      <c r="B107" s="7">
        <v>45391</v>
      </c>
      <c r="C107" s="8" t="s">
        <v>25</v>
      </c>
      <c r="D107" s="10" t="s">
        <v>221</v>
      </c>
      <c r="E107" s="8" t="s">
        <v>117</v>
      </c>
      <c r="F107" s="8" t="s">
        <v>12</v>
      </c>
      <c r="G107" s="19" t="s">
        <v>23</v>
      </c>
      <c r="H107" s="21">
        <f>7621.05/108.1*100</f>
        <v>7050</v>
      </c>
      <c r="I107" s="9" t="s">
        <v>14</v>
      </c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" customFormat="1" ht="20.100000000000001" customHeight="1" x14ac:dyDescent="0.25">
      <c r="A108" s="30">
        <v>440</v>
      </c>
      <c r="B108" s="22">
        <v>45418</v>
      </c>
      <c r="C108" s="10" t="s">
        <v>25</v>
      </c>
      <c r="D108" s="10" t="s">
        <v>217</v>
      </c>
      <c r="E108" s="10" t="s">
        <v>117</v>
      </c>
      <c r="F108" s="10" t="s">
        <v>13</v>
      </c>
      <c r="G108" s="23" t="s">
        <v>18</v>
      </c>
      <c r="H108" s="24">
        <v>12096</v>
      </c>
      <c r="I108" s="25" t="s">
        <v>14</v>
      </c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s="2" customFormat="1" ht="20.100000000000001" customHeight="1" x14ac:dyDescent="0.25">
      <c r="A109" s="11">
        <v>242</v>
      </c>
      <c r="B109" s="7">
        <v>45358</v>
      </c>
      <c r="C109" s="8" t="s">
        <v>56</v>
      </c>
      <c r="D109" s="8" t="s">
        <v>57</v>
      </c>
      <c r="E109" s="8" t="s">
        <v>117</v>
      </c>
      <c r="F109" s="8" t="s">
        <v>12</v>
      </c>
      <c r="G109" s="19" t="s">
        <v>23</v>
      </c>
      <c r="H109" s="14">
        <v>7210</v>
      </c>
      <c r="I109" s="9" t="s">
        <v>14</v>
      </c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" customFormat="1" ht="20.100000000000001" customHeight="1" x14ac:dyDescent="0.25">
      <c r="A110" s="11">
        <v>727</v>
      </c>
      <c r="B110" s="7">
        <v>45495</v>
      </c>
      <c r="C110" s="8" t="s">
        <v>56</v>
      </c>
      <c r="D110" s="8" t="s">
        <v>205</v>
      </c>
      <c r="E110" s="8" t="s">
        <v>117</v>
      </c>
      <c r="F110" s="8" t="s">
        <v>12</v>
      </c>
      <c r="G110" s="19" t="s">
        <v>23</v>
      </c>
      <c r="H110" s="14">
        <f>8087.15/108.1*100</f>
        <v>7481.1748381128582</v>
      </c>
      <c r="I110" s="9" t="s">
        <v>14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s="2" customFormat="1" ht="20.100000000000001" customHeight="1" x14ac:dyDescent="0.25">
      <c r="A111" s="11">
        <v>18</v>
      </c>
      <c r="B111" s="7">
        <v>45306</v>
      </c>
      <c r="C111" s="8" t="s">
        <v>77</v>
      </c>
      <c r="D111" s="8" t="s">
        <v>78</v>
      </c>
      <c r="E111" s="8" t="s">
        <v>117</v>
      </c>
      <c r="F111" s="8" t="s">
        <v>12</v>
      </c>
      <c r="G111" s="19" t="s">
        <v>23</v>
      </c>
      <c r="H111" s="14">
        <f>57000/108.1*100</f>
        <v>52728.954671600375</v>
      </c>
      <c r="I111" s="9" t="s">
        <v>14</v>
      </c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s="2" customFormat="1" ht="20.100000000000001" customHeight="1" x14ac:dyDescent="0.25">
      <c r="A112" s="11">
        <v>672</v>
      </c>
      <c r="B112" s="7">
        <v>45474</v>
      </c>
      <c r="C112" s="8" t="s">
        <v>206</v>
      </c>
      <c r="D112" s="8" t="s">
        <v>207</v>
      </c>
      <c r="E112" s="8" t="s">
        <v>127</v>
      </c>
      <c r="F112" s="8" t="s">
        <v>12</v>
      </c>
      <c r="G112" s="19" t="s">
        <v>23</v>
      </c>
      <c r="H112" s="14">
        <f>51888/108.1*100</f>
        <v>48000</v>
      </c>
      <c r="I112" s="9" t="s">
        <v>14</v>
      </c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s="2" customFormat="1" ht="20.100000000000001" customHeight="1" x14ac:dyDescent="0.25">
      <c r="A113" s="11">
        <v>599</v>
      </c>
      <c r="B113" s="7">
        <v>45460</v>
      </c>
      <c r="C113" s="8" t="s">
        <v>75</v>
      </c>
      <c r="D113" s="8" t="s">
        <v>76</v>
      </c>
      <c r="E113" s="8" t="s">
        <v>118</v>
      </c>
      <c r="F113" s="8" t="s">
        <v>12</v>
      </c>
      <c r="G113" s="19" t="s">
        <v>23</v>
      </c>
      <c r="H113" s="14">
        <v>5900</v>
      </c>
      <c r="I113" s="9" t="s">
        <v>14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s="2" customFormat="1" ht="20.100000000000001" customHeight="1" x14ac:dyDescent="0.25">
      <c r="A114" s="11">
        <v>344</v>
      </c>
      <c r="B114" s="7">
        <v>45390</v>
      </c>
      <c r="C114" s="8" t="s">
        <v>60</v>
      </c>
      <c r="D114" s="8" t="s">
        <v>58</v>
      </c>
      <c r="E114" s="8" t="s">
        <v>133</v>
      </c>
      <c r="F114" s="8" t="s">
        <v>13</v>
      </c>
      <c r="G114" s="19" t="s">
        <v>18</v>
      </c>
      <c r="H114" s="14">
        <f>172444.31/108.1*100</f>
        <v>159522.95097132286</v>
      </c>
      <c r="I114" s="9" t="s">
        <v>14</v>
      </c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s="2" customFormat="1" ht="20.100000000000001" customHeight="1" x14ac:dyDescent="0.25">
      <c r="A115" s="11">
        <v>344</v>
      </c>
      <c r="B115" s="7">
        <v>45390</v>
      </c>
      <c r="C115" s="8" t="s">
        <v>59</v>
      </c>
      <c r="D115" s="8" t="s">
        <v>62</v>
      </c>
      <c r="E115" s="8" t="s">
        <v>132</v>
      </c>
      <c r="F115" s="8" t="s">
        <v>13</v>
      </c>
      <c r="G115" s="19" t="s">
        <v>18</v>
      </c>
      <c r="H115" s="14">
        <f>55558/108.1*100</f>
        <v>51395.004625346905</v>
      </c>
      <c r="I115" s="9" t="s">
        <v>14</v>
      </c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s="2" customFormat="1" ht="20.100000000000001" customHeight="1" x14ac:dyDescent="0.25">
      <c r="A116" s="11">
        <v>343</v>
      </c>
      <c r="B116" s="7">
        <v>45390</v>
      </c>
      <c r="C116" s="8" t="s">
        <v>63</v>
      </c>
      <c r="D116" s="8" t="s">
        <v>64</v>
      </c>
      <c r="E116" s="8" t="s">
        <v>117</v>
      </c>
      <c r="F116" s="8" t="s">
        <v>12</v>
      </c>
      <c r="G116" s="19" t="s">
        <v>23</v>
      </c>
      <c r="H116" s="14">
        <v>5016</v>
      </c>
      <c r="I116" s="9" t="s">
        <v>14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s="2" customFormat="1" ht="20.100000000000001" customHeight="1" x14ac:dyDescent="0.25">
      <c r="A117" s="11">
        <v>171</v>
      </c>
      <c r="B117" s="7">
        <v>45334</v>
      </c>
      <c r="C117" s="8" t="s">
        <v>208</v>
      </c>
      <c r="D117" s="8" t="s">
        <v>94</v>
      </c>
      <c r="E117" s="8" t="s">
        <v>117</v>
      </c>
      <c r="F117" s="8" t="s">
        <v>12</v>
      </c>
      <c r="G117" s="19" t="s">
        <v>23</v>
      </c>
      <c r="H117" s="14">
        <f>28719.65/108.1*100</f>
        <v>26567.668825161887</v>
      </c>
      <c r="I117" s="9" t="s">
        <v>14</v>
      </c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s="2" customFormat="1" ht="20.100000000000001" customHeight="1" x14ac:dyDescent="0.25">
      <c r="A118" s="11">
        <v>229</v>
      </c>
      <c r="B118" s="7">
        <v>45351</v>
      </c>
      <c r="C118" s="8" t="s">
        <v>209</v>
      </c>
      <c r="D118" s="8" t="s">
        <v>210</v>
      </c>
      <c r="E118" s="8" t="s">
        <v>117</v>
      </c>
      <c r="F118" s="8" t="s">
        <v>12</v>
      </c>
      <c r="G118" s="19" t="s">
        <v>23</v>
      </c>
      <c r="H118" s="14">
        <f>8337.95/108.1*100</f>
        <v>7713.1822386679005</v>
      </c>
      <c r="I118" s="9" t="s">
        <v>14</v>
      </c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s="2" customFormat="1" ht="20.100000000000001" customHeight="1" x14ac:dyDescent="0.25">
      <c r="A119" s="11">
        <v>831</v>
      </c>
      <c r="B119" s="7">
        <v>45537</v>
      </c>
      <c r="C119" s="8" t="s">
        <v>211</v>
      </c>
      <c r="D119" s="8" t="s">
        <v>212</v>
      </c>
      <c r="E119" s="8" t="s">
        <v>117</v>
      </c>
      <c r="F119" s="8" t="s">
        <v>12</v>
      </c>
      <c r="G119" s="19" t="s">
        <v>23</v>
      </c>
      <c r="H119" s="14">
        <f>9796.55/108.1*100</f>
        <v>9062.4884366327478</v>
      </c>
      <c r="I119" s="9" t="s">
        <v>14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s="2" customFormat="1" ht="20.100000000000001" customHeight="1" x14ac:dyDescent="0.25">
      <c r="A120" s="11">
        <v>347</v>
      </c>
      <c r="B120" s="31">
        <v>45391</v>
      </c>
      <c r="C120" s="8" t="s">
        <v>65</v>
      </c>
      <c r="D120" s="8" t="s">
        <v>66</v>
      </c>
      <c r="E120" s="8" t="s">
        <v>133</v>
      </c>
      <c r="F120" s="8" t="s">
        <v>12</v>
      </c>
      <c r="G120" s="19" t="s">
        <v>23</v>
      </c>
      <c r="H120" s="21">
        <f>16003.8/108.1*100</f>
        <v>14804.625346901017</v>
      </c>
      <c r="I120" s="9" t="s">
        <v>14</v>
      </c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s="2" customFormat="1" ht="20.100000000000001" customHeight="1" x14ac:dyDescent="0.25">
      <c r="A121" s="11">
        <v>728</v>
      </c>
      <c r="B121" s="7">
        <v>45495</v>
      </c>
      <c r="C121" s="8" t="s">
        <v>213</v>
      </c>
      <c r="D121" s="8" t="s">
        <v>214</v>
      </c>
      <c r="E121" s="8" t="s">
        <v>118</v>
      </c>
      <c r="F121" s="8" t="s">
        <v>12</v>
      </c>
      <c r="G121" s="19" t="s">
        <v>23</v>
      </c>
      <c r="H121" s="14">
        <f>26627.99/108.1*100</f>
        <v>24632.738205365404</v>
      </c>
      <c r="I121" s="9" t="s">
        <v>14</v>
      </c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ht="19.5" thickBot="1" x14ac:dyDescent="0.35">
      <c r="G122" s="13" t="s">
        <v>15</v>
      </c>
      <c r="H122" s="17">
        <f>SUM(H7:H121)</f>
        <v>3437002.1924329312</v>
      </c>
      <c r="I122" s="16" t="s">
        <v>14</v>
      </c>
    </row>
    <row r="123" spans="1:22" ht="19.5" thickTop="1" x14ac:dyDescent="0.3">
      <c r="G123" s="13"/>
      <c r="H123" s="12"/>
      <c r="I123" s="15"/>
    </row>
    <row r="124" spans="1:22" x14ac:dyDescent="0.3">
      <c r="B124" s="3" t="s">
        <v>230</v>
      </c>
      <c r="C124" s="4"/>
      <c r="D124" s="3" t="s">
        <v>229</v>
      </c>
    </row>
    <row r="1045954" spans="6:6" x14ac:dyDescent="0.3">
      <c r="F1045954" s="8"/>
    </row>
  </sheetData>
  <autoFilter ref="A6:I122" xr:uid="{CB0CEB69-D642-481B-B065-42E271FA8A27}">
    <sortState xmlns:xlrd2="http://schemas.microsoft.com/office/spreadsheetml/2017/richdata2" ref="A7:I122">
      <sortCondition ref="C7:C122"/>
    </sortState>
  </autoFilter>
  <mergeCells count="3">
    <mergeCell ref="A1:I1"/>
    <mergeCell ref="A2:I2"/>
    <mergeCell ref="A3:I3"/>
  </mergeCells>
  <pageMargins left="0.25" right="0.25" top="0.75" bottom="0.75" header="0.3" footer="0.3"/>
  <pageSetup paperSize="8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Lista commesse 2024 </vt:lpstr>
      <vt:lpstr>'Lista commesse 2024 '!Area_stampa</vt:lpstr>
      <vt:lpstr>'Lista commesse 2024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Scarmignan</dc:creator>
  <cp:lastModifiedBy>Francesca Sciolli</cp:lastModifiedBy>
  <cp:lastPrinted>2025-03-27T10:39:42Z</cp:lastPrinted>
  <dcterms:created xsi:type="dcterms:W3CDTF">2023-03-14T16:04:02Z</dcterms:created>
  <dcterms:modified xsi:type="dcterms:W3CDTF">2025-04-01T07:30:53Z</dcterms:modified>
</cp:coreProperties>
</file>