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resa\Finanze-Gecoti\02. - Consuntivo 2021\"/>
    </mc:Choice>
  </mc:AlternateContent>
  <xr:revisionPtr revIDLastSave="0" documentId="13_ncr:1_{A7F39EBD-FD77-461E-8697-BC3D16E82C89}" xr6:coauthVersionLast="47" xr6:coauthVersionMax="47" xr10:uidLastSave="{00000000-0000-0000-0000-000000000000}"/>
  <bookViews>
    <workbookView xWindow="-120" yWindow="-120" windowWidth="29040" windowHeight="15840" xr2:uid="{40934C79-0534-465B-A0E1-92CFA82109B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5" i="1" l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1" i="1"/>
  <c r="C160" i="1"/>
  <c r="C159" i="1"/>
  <c r="C158" i="1"/>
  <c r="C157" i="1"/>
  <c r="C156" i="1"/>
  <c r="C155" i="1"/>
  <c r="C154" i="1"/>
  <c r="C153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D93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7" i="1"/>
  <c r="C16" i="1"/>
  <c r="C15" i="1"/>
  <c r="C14" i="1"/>
  <c r="C13" i="1"/>
  <c r="C12" i="1"/>
  <c r="C11" i="1"/>
  <c r="C10" i="1"/>
  <c r="C9" i="1"/>
  <c r="C8" i="1"/>
  <c r="C6" i="1"/>
  <c r="D76" i="1"/>
  <c r="D111" i="1"/>
  <c r="D110" i="1"/>
  <c r="D109" i="1"/>
  <c r="D108" i="1"/>
  <c r="D107" i="1"/>
  <c r="D105" i="1"/>
  <c r="D102" i="1"/>
  <c r="D101" i="1"/>
  <c r="D99" i="1"/>
  <c r="D97" i="1"/>
  <c r="D96" i="1"/>
  <c r="D95" i="1"/>
  <c r="D94" i="1"/>
  <c r="D92" i="1"/>
  <c r="D91" i="1"/>
  <c r="D90" i="1"/>
  <c r="D89" i="1"/>
  <c r="D88" i="1"/>
  <c r="D86" i="1"/>
  <c r="D85" i="1"/>
  <c r="D84" i="1"/>
  <c r="D83" i="1"/>
  <c r="D82" i="1"/>
  <c r="D81" i="1"/>
  <c r="D80" i="1"/>
  <c r="D78" i="1"/>
  <c r="D77" i="1"/>
  <c r="D75" i="1"/>
  <c r="D74" i="1"/>
  <c r="D73" i="1"/>
  <c r="D72" i="1"/>
  <c r="D71" i="1"/>
  <c r="D70" i="1"/>
  <c r="D69" i="1"/>
  <c r="D175" i="1"/>
  <c r="D174" i="1"/>
  <c r="D172" i="1"/>
  <c r="D171" i="1"/>
  <c r="D170" i="1"/>
  <c r="D169" i="1"/>
  <c r="D168" i="1"/>
  <c r="D167" i="1"/>
  <c r="D166" i="1"/>
  <c r="D165" i="1"/>
  <c r="D164" i="1"/>
  <c r="D161" i="1"/>
  <c r="D160" i="1"/>
  <c r="D158" i="1"/>
  <c r="D157" i="1"/>
  <c r="D156" i="1"/>
  <c r="D155" i="1"/>
  <c r="D154" i="1"/>
  <c r="D153" i="1"/>
  <c r="C152" i="1"/>
  <c r="D149" i="1"/>
  <c r="D148" i="1"/>
  <c r="D146" i="1"/>
  <c r="D145" i="1"/>
  <c r="D144" i="1"/>
  <c r="D143" i="1"/>
  <c r="D142" i="1"/>
  <c r="D141" i="1"/>
  <c r="D140" i="1"/>
  <c r="D139" i="1"/>
  <c r="D138" i="1"/>
  <c r="D136" i="1"/>
  <c r="D135" i="1"/>
  <c r="D134" i="1"/>
  <c r="D133" i="1"/>
  <c r="D128" i="1"/>
  <c r="D127" i="1"/>
  <c r="D126" i="1"/>
  <c r="D125" i="1"/>
  <c r="D124" i="1"/>
  <c r="D123" i="1"/>
  <c r="D122" i="1"/>
  <c r="D121" i="1"/>
  <c r="D120" i="1"/>
  <c r="D119" i="1"/>
  <c r="D118" i="1"/>
  <c r="D113" i="1"/>
  <c r="D65" i="1"/>
  <c r="D64" i="1"/>
  <c r="D61" i="1"/>
  <c r="D60" i="1"/>
  <c r="D59" i="1"/>
  <c r="D58" i="1"/>
  <c r="D57" i="1"/>
  <c r="D56" i="1"/>
  <c r="D55" i="1"/>
  <c r="D54" i="1"/>
  <c r="D52" i="1"/>
  <c r="D51" i="1"/>
  <c r="D49" i="1"/>
  <c r="D48" i="1"/>
  <c r="D47" i="1"/>
  <c r="D46" i="1"/>
  <c r="D45" i="1"/>
  <c r="D44" i="1"/>
  <c r="D43" i="1"/>
  <c r="D42" i="1"/>
  <c r="D40" i="1"/>
  <c r="D39" i="1"/>
  <c r="D38" i="1"/>
  <c r="D37" i="1"/>
  <c r="D36" i="1"/>
  <c r="D35" i="1"/>
  <c r="D34" i="1"/>
  <c r="D33" i="1"/>
  <c r="D29" i="1"/>
  <c r="D25" i="1"/>
  <c r="D24" i="1"/>
  <c r="D23" i="1"/>
  <c r="D22" i="1"/>
  <c r="D20" i="1"/>
  <c r="D19" i="1"/>
  <c r="D17" i="1"/>
  <c r="D16" i="1"/>
  <c r="D15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<sst xmlns="http://schemas.openxmlformats.org/spreadsheetml/2006/main" count="714" uniqueCount="61">
  <si>
    <t>COMMESSE PUBBLICHE ANNO 2021</t>
  </si>
  <si>
    <t>In ottemperanza ai disposti degli artt. 7 cpv. 5 LCPubb e 13 cpv. 2-3 RLCPubb/CIAP il Comune di Tresa rende pubblica e accessibile la lista delle commesse che superano CHF 5'000.– (IVA esclusa) aggiudicate su invito o incarico diretto, con decisione cresciuta in giudicato.</t>
  </si>
  <si>
    <t>Ente</t>
  </si>
  <si>
    <t xml:space="preserve">Data </t>
  </si>
  <si>
    <t>Oggetto</t>
  </si>
  <si>
    <t>Genere di commessa</t>
  </si>
  <si>
    <t xml:space="preserve">Incarico diretto o procedura ad invito </t>
  </si>
  <si>
    <t>Base legale</t>
  </si>
  <si>
    <t>Azienda</t>
  </si>
  <si>
    <t>Quartiere di Croglio</t>
  </si>
  <si>
    <t>art. 7 cpv. 3 LCPubb</t>
  </si>
  <si>
    <t>servizio</t>
  </si>
  <si>
    <t>incarico diretto</t>
  </si>
  <si>
    <t>edile</t>
  </si>
  <si>
    <t>fornitura</t>
  </si>
  <si>
    <t>1°richiesta acconto procedura verifica contributi opere di canalizzazione</t>
  </si>
  <si>
    <t>invito</t>
  </si>
  <si>
    <t>noleggio benne, ritiro e smaltimento rifiuti</t>
  </si>
  <si>
    <t>trasporto allievi anno 2021</t>
  </si>
  <si>
    <t>licenza annuale e manutenzione software Ge.Co.Ti Web</t>
  </si>
  <si>
    <t>fornitura silo e sale antighiaccio stagione 2021/2022</t>
  </si>
  <si>
    <t>raccolta rifiuti solidi urbani 2021</t>
  </si>
  <si>
    <t>fornitura generi alimentari mensa scolastica</t>
  </si>
  <si>
    <t>canone licenze MS Office amministrazione comunale</t>
  </si>
  <si>
    <t>canone licenza software telefonia anno 2021</t>
  </si>
  <si>
    <t>fornitura e installazione hardware nuovo comune di Tresa</t>
  </si>
  <si>
    <t>pulizia spazi scuole e palestra centro Lüsc</t>
  </si>
  <si>
    <t>implementazione sistema gestione documentale archiflow</t>
  </si>
  <si>
    <t>pulizia centro scolastico Lüsc</t>
  </si>
  <si>
    <t>raccolta e smaltimento rifiuti 2021</t>
  </si>
  <si>
    <t>spese sgombero forzato</t>
  </si>
  <si>
    <r>
      <t>Importo  deliberato</t>
    </r>
    <r>
      <rPr>
        <b/>
        <sz val="10"/>
        <color indexed="10"/>
        <rFont val="Tahoma"/>
        <family val="2"/>
      </rPr>
      <t xml:space="preserve"> </t>
    </r>
    <r>
      <rPr>
        <b/>
        <sz val="10"/>
        <rFont val="Tahoma"/>
        <family val="2"/>
      </rPr>
      <t>(IVA esc.)</t>
    </r>
  </si>
  <si>
    <t>Quartiere di Monteggio</t>
  </si>
  <si>
    <t xml:space="preserve">ritiro e smaltimento rifiuti </t>
  </si>
  <si>
    <t>Sistemazione parcheggio nucleo Ramello</t>
  </si>
  <si>
    <t>prestazioni diverse manutenzione aree verdi e fornitura piante</t>
  </si>
  <si>
    <t>fornitura e posta segnaletica verticale Monteggio</t>
  </si>
  <si>
    <t>acquisto carta giornaliera FFS</t>
  </si>
  <si>
    <t>Quartiere Ponte Tresa</t>
  </si>
  <si>
    <t>Progetto ristrutturazione e ampliamento scuola elementare Ponte Tresa</t>
  </si>
  <si>
    <t>revisione conti 2020</t>
  </si>
  <si>
    <t>servizio raccolta e smaltimento carta e scarti vegetali 2021</t>
  </si>
  <si>
    <t>prestazioni diverse anno 2021</t>
  </si>
  <si>
    <t>pulizia stabili</t>
  </si>
  <si>
    <t>note professionali anno 2021</t>
  </si>
  <si>
    <t>raccolta e smaltimento rifiuti anno 2021</t>
  </si>
  <si>
    <t>Quartiere Sessa</t>
  </si>
  <si>
    <t>noleggio impianto di clorazione e misura impianto</t>
  </si>
  <si>
    <t>gestione piano regolatore 2021</t>
  </si>
  <si>
    <t xml:space="preserve">Estensione illuminazione pubblica D110 Via Monte Oliveto Ponte Tresa </t>
  </si>
  <si>
    <t>COMUNE DI TRESA</t>
  </si>
  <si>
    <t>edile secondario</t>
  </si>
  <si>
    <t>art. 7 cpv. 3 lett. h LCPubb</t>
  </si>
  <si>
    <t>art. 7 cpv. 3 lett. c LCPubb</t>
  </si>
  <si>
    <t>art. 7 cpv. 3 lett. e LCPubb</t>
  </si>
  <si>
    <t>art. 7 cpv. 3 lett. b LCPubb</t>
  </si>
  <si>
    <t>Albisetti SA impresa costruzione, Magliaso</t>
  </si>
  <si>
    <t>F.lli Zanetti SA, Tresa Croglio</t>
  </si>
  <si>
    <t xml:space="preserve">Data pubblicazione lista: </t>
  </si>
  <si>
    <t>RM 562/2022 - 20.06.2022</t>
  </si>
  <si>
    <t>art. 7 cpv. 2 LCPubb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</si>
</sst>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1"/>
      <name val="Arial Nova"/>
      <family val="2"/>
    </font>
    <font>
      <b/>
      <sz val="20"/>
      <name val="Tahoma"/>
      <family val="2"/>
    </font>
    <font>
      <i/>
      <sz val="11"/>
      <color theme="1"/>
      <name val="Tahoma"/>
      <family val="2"/>
    </font>
    <font>
      <b/>
      <sz val="11"/>
      <name val="Tahoma"/>
      <family val="2"/>
    </font>
    <font>
      <b/>
      <sz val="11"/>
      <color indexed="10"/>
      <name val="Tahoma"/>
      <family val="2"/>
    </font>
    <font>
      <sz val="11"/>
      <color indexed="10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0"/>
      <name val="Arial Nova"/>
      <family val="2"/>
    </font>
    <font>
      <b/>
      <sz val="10"/>
      <name val="Tahoma"/>
      <family val="2"/>
    </font>
    <font>
      <b/>
      <sz val="10"/>
      <name val="Arial Nova"/>
      <family val="2"/>
    </font>
    <font>
      <b/>
      <sz val="10"/>
      <color indexed="10"/>
      <name val="Tahoma"/>
      <family val="2"/>
    </font>
    <font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/>
    <xf numFmtId="4" fontId="1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9" fillId="0" borderId="3" xfId="0" applyFont="1" applyBorder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right" vertical="center" wrapText="1"/>
    </xf>
    <xf numFmtId="0" fontId="9" fillId="0" borderId="0" xfId="0" applyFont="1"/>
    <xf numFmtId="0" fontId="1" fillId="0" borderId="1" xfId="0" applyFont="1" applyBorder="1"/>
    <xf numFmtId="0" fontId="8" fillId="0" borderId="0" xfId="0" applyFont="1"/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0D41B-31FE-4B84-BF9A-D2228E211826}">
  <sheetPr>
    <pageSetUpPr fitToPage="1"/>
  </sheetPr>
  <dimension ref="A1:I190"/>
  <sheetViews>
    <sheetView tabSelected="1" topLeftCell="A11" workbookViewId="0">
      <selection activeCell="A3" sqref="A3:H3"/>
    </sheetView>
  </sheetViews>
  <sheetFormatPr defaultRowHeight="15" x14ac:dyDescent="0.25"/>
  <cols>
    <col min="1" max="1" width="20" style="3" bestFit="1" customWidth="1"/>
    <col min="2" max="2" width="22.140625" style="10" customWidth="1"/>
    <col min="3" max="3" width="54.28515625" style="1" bestFit="1" customWidth="1"/>
    <col min="4" max="4" width="81.28515625" style="3" customWidth="1"/>
    <col min="5" max="5" width="13.85546875" style="8" customWidth="1"/>
    <col min="6" max="6" width="14.5703125" style="3" bestFit="1" customWidth="1"/>
    <col min="7" max="7" width="19.42578125" style="1" bestFit="1" customWidth="1"/>
    <col min="8" max="8" width="23.28515625" style="1" bestFit="1" customWidth="1"/>
    <col min="10" max="10" width="10.140625" style="1" bestFit="1" customWidth="1"/>
    <col min="11" max="257" width="9.140625" style="1"/>
    <col min="258" max="258" width="20.140625" style="1" bestFit="1" customWidth="1"/>
    <col min="259" max="259" width="11.140625" style="1" customWidth="1"/>
    <col min="260" max="260" width="112.140625" style="1" bestFit="1" customWidth="1"/>
    <col min="261" max="261" width="14.42578125" style="1" customWidth="1"/>
    <col min="262" max="262" width="20.140625" style="1" customWidth="1"/>
    <col min="263" max="263" width="18" style="1" bestFit="1" customWidth="1"/>
    <col min="264" max="264" width="41.42578125" style="1" customWidth="1"/>
    <col min="265" max="265" width="14.7109375" style="1" customWidth="1"/>
    <col min="266" max="266" width="10.140625" style="1" bestFit="1" customWidth="1"/>
    <col min="267" max="513" width="9.140625" style="1"/>
    <col min="514" max="514" width="20.140625" style="1" bestFit="1" customWidth="1"/>
    <col min="515" max="515" width="11.140625" style="1" customWidth="1"/>
    <col min="516" max="516" width="112.140625" style="1" bestFit="1" customWidth="1"/>
    <col min="517" max="517" width="14.42578125" style="1" customWidth="1"/>
    <col min="518" max="518" width="20.140625" style="1" customWidth="1"/>
    <col min="519" max="519" width="18" style="1" bestFit="1" customWidth="1"/>
    <col min="520" max="520" width="41.42578125" style="1" customWidth="1"/>
    <col min="521" max="521" width="14.7109375" style="1" customWidth="1"/>
    <col min="522" max="522" width="10.140625" style="1" bestFit="1" customWidth="1"/>
    <col min="523" max="769" width="9.140625" style="1"/>
    <col min="770" max="770" width="20.140625" style="1" bestFit="1" customWidth="1"/>
    <col min="771" max="771" width="11.140625" style="1" customWidth="1"/>
    <col min="772" max="772" width="112.140625" style="1" bestFit="1" customWidth="1"/>
    <col min="773" max="773" width="14.42578125" style="1" customWidth="1"/>
    <col min="774" max="774" width="20.140625" style="1" customWidth="1"/>
    <col min="775" max="775" width="18" style="1" bestFit="1" customWidth="1"/>
    <col min="776" max="776" width="41.42578125" style="1" customWidth="1"/>
    <col min="777" max="777" width="14.7109375" style="1" customWidth="1"/>
    <col min="778" max="778" width="10.140625" style="1" bestFit="1" customWidth="1"/>
    <col min="779" max="1025" width="9.140625" style="1"/>
    <col min="1026" max="1026" width="20.140625" style="1" bestFit="1" customWidth="1"/>
    <col min="1027" max="1027" width="11.140625" style="1" customWidth="1"/>
    <col min="1028" max="1028" width="112.140625" style="1" bestFit="1" customWidth="1"/>
    <col min="1029" max="1029" width="14.42578125" style="1" customWidth="1"/>
    <col min="1030" max="1030" width="20.140625" style="1" customWidth="1"/>
    <col min="1031" max="1031" width="18" style="1" bestFit="1" customWidth="1"/>
    <col min="1032" max="1032" width="41.42578125" style="1" customWidth="1"/>
    <col min="1033" max="1033" width="14.7109375" style="1" customWidth="1"/>
    <col min="1034" max="1034" width="10.140625" style="1" bestFit="1" customWidth="1"/>
    <col min="1035" max="1281" width="9.140625" style="1"/>
    <col min="1282" max="1282" width="20.140625" style="1" bestFit="1" customWidth="1"/>
    <col min="1283" max="1283" width="11.140625" style="1" customWidth="1"/>
    <col min="1284" max="1284" width="112.140625" style="1" bestFit="1" customWidth="1"/>
    <col min="1285" max="1285" width="14.42578125" style="1" customWidth="1"/>
    <col min="1286" max="1286" width="20.140625" style="1" customWidth="1"/>
    <col min="1287" max="1287" width="18" style="1" bestFit="1" customWidth="1"/>
    <col min="1288" max="1288" width="41.42578125" style="1" customWidth="1"/>
    <col min="1289" max="1289" width="14.7109375" style="1" customWidth="1"/>
    <col min="1290" max="1290" width="10.140625" style="1" bestFit="1" customWidth="1"/>
    <col min="1291" max="1537" width="9.140625" style="1"/>
    <col min="1538" max="1538" width="20.140625" style="1" bestFit="1" customWidth="1"/>
    <col min="1539" max="1539" width="11.140625" style="1" customWidth="1"/>
    <col min="1540" max="1540" width="112.140625" style="1" bestFit="1" customWidth="1"/>
    <col min="1541" max="1541" width="14.42578125" style="1" customWidth="1"/>
    <col min="1542" max="1542" width="20.140625" style="1" customWidth="1"/>
    <col min="1543" max="1543" width="18" style="1" bestFit="1" customWidth="1"/>
    <col min="1544" max="1544" width="41.42578125" style="1" customWidth="1"/>
    <col min="1545" max="1545" width="14.7109375" style="1" customWidth="1"/>
    <col min="1546" max="1546" width="10.140625" style="1" bestFit="1" customWidth="1"/>
    <col min="1547" max="1793" width="9.140625" style="1"/>
    <col min="1794" max="1794" width="20.140625" style="1" bestFit="1" customWidth="1"/>
    <col min="1795" max="1795" width="11.140625" style="1" customWidth="1"/>
    <col min="1796" max="1796" width="112.140625" style="1" bestFit="1" customWidth="1"/>
    <col min="1797" max="1797" width="14.42578125" style="1" customWidth="1"/>
    <col min="1798" max="1798" width="20.140625" style="1" customWidth="1"/>
    <col min="1799" max="1799" width="18" style="1" bestFit="1" customWidth="1"/>
    <col min="1800" max="1800" width="41.42578125" style="1" customWidth="1"/>
    <col min="1801" max="1801" width="14.7109375" style="1" customWidth="1"/>
    <col min="1802" max="1802" width="10.140625" style="1" bestFit="1" customWidth="1"/>
    <col min="1803" max="2049" width="9.140625" style="1"/>
    <col min="2050" max="2050" width="20.140625" style="1" bestFit="1" customWidth="1"/>
    <col min="2051" max="2051" width="11.140625" style="1" customWidth="1"/>
    <col min="2052" max="2052" width="112.140625" style="1" bestFit="1" customWidth="1"/>
    <col min="2053" max="2053" width="14.42578125" style="1" customWidth="1"/>
    <col min="2054" max="2054" width="20.140625" style="1" customWidth="1"/>
    <col min="2055" max="2055" width="18" style="1" bestFit="1" customWidth="1"/>
    <col min="2056" max="2056" width="41.42578125" style="1" customWidth="1"/>
    <col min="2057" max="2057" width="14.7109375" style="1" customWidth="1"/>
    <col min="2058" max="2058" width="10.140625" style="1" bestFit="1" customWidth="1"/>
    <col min="2059" max="2305" width="9.140625" style="1"/>
    <col min="2306" max="2306" width="20.140625" style="1" bestFit="1" customWidth="1"/>
    <col min="2307" max="2307" width="11.140625" style="1" customWidth="1"/>
    <col min="2308" max="2308" width="112.140625" style="1" bestFit="1" customWidth="1"/>
    <col min="2309" max="2309" width="14.42578125" style="1" customWidth="1"/>
    <col min="2310" max="2310" width="20.140625" style="1" customWidth="1"/>
    <col min="2311" max="2311" width="18" style="1" bestFit="1" customWidth="1"/>
    <col min="2312" max="2312" width="41.42578125" style="1" customWidth="1"/>
    <col min="2313" max="2313" width="14.7109375" style="1" customWidth="1"/>
    <col min="2314" max="2314" width="10.140625" style="1" bestFit="1" customWidth="1"/>
    <col min="2315" max="2561" width="9.140625" style="1"/>
    <col min="2562" max="2562" width="20.140625" style="1" bestFit="1" customWidth="1"/>
    <col min="2563" max="2563" width="11.140625" style="1" customWidth="1"/>
    <col min="2564" max="2564" width="112.140625" style="1" bestFit="1" customWidth="1"/>
    <col min="2565" max="2565" width="14.42578125" style="1" customWidth="1"/>
    <col min="2566" max="2566" width="20.140625" style="1" customWidth="1"/>
    <col min="2567" max="2567" width="18" style="1" bestFit="1" customWidth="1"/>
    <col min="2568" max="2568" width="41.42578125" style="1" customWidth="1"/>
    <col min="2569" max="2569" width="14.7109375" style="1" customWidth="1"/>
    <col min="2570" max="2570" width="10.140625" style="1" bestFit="1" customWidth="1"/>
    <col min="2571" max="2817" width="9.140625" style="1"/>
    <col min="2818" max="2818" width="20.140625" style="1" bestFit="1" customWidth="1"/>
    <col min="2819" max="2819" width="11.140625" style="1" customWidth="1"/>
    <col min="2820" max="2820" width="112.140625" style="1" bestFit="1" customWidth="1"/>
    <col min="2821" max="2821" width="14.42578125" style="1" customWidth="1"/>
    <col min="2822" max="2822" width="20.140625" style="1" customWidth="1"/>
    <col min="2823" max="2823" width="18" style="1" bestFit="1" customWidth="1"/>
    <col min="2824" max="2824" width="41.42578125" style="1" customWidth="1"/>
    <col min="2825" max="2825" width="14.7109375" style="1" customWidth="1"/>
    <col min="2826" max="2826" width="10.140625" style="1" bestFit="1" customWidth="1"/>
    <col min="2827" max="3073" width="9.140625" style="1"/>
    <col min="3074" max="3074" width="20.140625" style="1" bestFit="1" customWidth="1"/>
    <col min="3075" max="3075" width="11.140625" style="1" customWidth="1"/>
    <col min="3076" max="3076" width="112.140625" style="1" bestFit="1" customWidth="1"/>
    <col min="3077" max="3077" width="14.42578125" style="1" customWidth="1"/>
    <col min="3078" max="3078" width="20.140625" style="1" customWidth="1"/>
    <col min="3079" max="3079" width="18" style="1" bestFit="1" customWidth="1"/>
    <col min="3080" max="3080" width="41.42578125" style="1" customWidth="1"/>
    <col min="3081" max="3081" width="14.7109375" style="1" customWidth="1"/>
    <col min="3082" max="3082" width="10.140625" style="1" bestFit="1" customWidth="1"/>
    <col min="3083" max="3329" width="9.140625" style="1"/>
    <col min="3330" max="3330" width="20.140625" style="1" bestFit="1" customWidth="1"/>
    <col min="3331" max="3331" width="11.140625" style="1" customWidth="1"/>
    <col min="3332" max="3332" width="112.140625" style="1" bestFit="1" customWidth="1"/>
    <col min="3333" max="3333" width="14.42578125" style="1" customWidth="1"/>
    <col min="3334" max="3334" width="20.140625" style="1" customWidth="1"/>
    <col min="3335" max="3335" width="18" style="1" bestFit="1" customWidth="1"/>
    <col min="3336" max="3336" width="41.42578125" style="1" customWidth="1"/>
    <col min="3337" max="3337" width="14.7109375" style="1" customWidth="1"/>
    <col min="3338" max="3338" width="10.140625" style="1" bestFit="1" customWidth="1"/>
    <col min="3339" max="3585" width="9.140625" style="1"/>
    <col min="3586" max="3586" width="20.140625" style="1" bestFit="1" customWidth="1"/>
    <col min="3587" max="3587" width="11.140625" style="1" customWidth="1"/>
    <col min="3588" max="3588" width="112.140625" style="1" bestFit="1" customWidth="1"/>
    <col min="3589" max="3589" width="14.42578125" style="1" customWidth="1"/>
    <col min="3590" max="3590" width="20.140625" style="1" customWidth="1"/>
    <col min="3591" max="3591" width="18" style="1" bestFit="1" customWidth="1"/>
    <col min="3592" max="3592" width="41.42578125" style="1" customWidth="1"/>
    <col min="3593" max="3593" width="14.7109375" style="1" customWidth="1"/>
    <col min="3594" max="3594" width="10.140625" style="1" bestFit="1" customWidth="1"/>
    <col min="3595" max="3841" width="9.140625" style="1"/>
    <col min="3842" max="3842" width="20.140625" style="1" bestFit="1" customWidth="1"/>
    <col min="3843" max="3843" width="11.140625" style="1" customWidth="1"/>
    <col min="3844" max="3844" width="112.140625" style="1" bestFit="1" customWidth="1"/>
    <col min="3845" max="3845" width="14.42578125" style="1" customWidth="1"/>
    <col min="3846" max="3846" width="20.140625" style="1" customWidth="1"/>
    <col min="3847" max="3847" width="18" style="1" bestFit="1" customWidth="1"/>
    <col min="3848" max="3848" width="41.42578125" style="1" customWidth="1"/>
    <col min="3849" max="3849" width="14.7109375" style="1" customWidth="1"/>
    <col min="3850" max="3850" width="10.140625" style="1" bestFit="1" customWidth="1"/>
    <col min="3851" max="4097" width="9.140625" style="1"/>
    <col min="4098" max="4098" width="20.140625" style="1" bestFit="1" customWidth="1"/>
    <col min="4099" max="4099" width="11.140625" style="1" customWidth="1"/>
    <col min="4100" max="4100" width="112.140625" style="1" bestFit="1" customWidth="1"/>
    <col min="4101" max="4101" width="14.42578125" style="1" customWidth="1"/>
    <col min="4102" max="4102" width="20.140625" style="1" customWidth="1"/>
    <col min="4103" max="4103" width="18" style="1" bestFit="1" customWidth="1"/>
    <col min="4104" max="4104" width="41.42578125" style="1" customWidth="1"/>
    <col min="4105" max="4105" width="14.7109375" style="1" customWidth="1"/>
    <col min="4106" max="4106" width="10.140625" style="1" bestFit="1" customWidth="1"/>
    <col min="4107" max="4353" width="9.140625" style="1"/>
    <col min="4354" max="4354" width="20.140625" style="1" bestFit="1" customWidth="1"/>
    <col min="4355" max="4355" width="11.140625" style="1" customWidth="1"/>
    <col min="4356" max="4356" width="112.140625" style="1" bestFit="1" customWidth="1"/>
    <col min="4357" max="4357" width="14.42578125" style="1" customWidth="1"/>
    <col min="4358" max="4358" width="20.140625" style="1" customWidth="1"/>
    <col min="4359" max="4359" width="18" style="1" bestFit="1" customWidth="1"/>
    <col min="4360" max="4360" width="41.42578125" style="1" customWidth="1"/>
    <col min="4361" max="4361" width="14.7109375" style="1" customWidth="1"/>
    <col min="4362" max="4362" width="10.140625" style="1" bestFit="1" customWidth="1"/>
    <col min="4363" max="4609" width="9.140625" style="1"/>
    <col min="4610" max="4610" width="20.140625" style="1" bestFit="1" customWidth="1"/>
    <col min="4611" max="4611" width="11.140625" style="1" customWidth="1"/>
    <col min="4612" max="4612" width="112.140625" style="1" bestFit="1" customWidth="1"/>
    <col min="4613" max="4613" width="14.42578125" style="1" customWidth="1"/>
    <col min="4614" max="4614" width="20.140625" style="1" customWidth="1"/>
    <col min="4615" max="4615" width="18" style="1" bestFit="1" customWidth="1"/>
    <col min="4616" max="4616" width="41.42578125" style="1" customWidth="1"/>
    <col min="4617" max="4617" width="14.7109375" style="1" customWidth="1"/>
    <col min="4618" max="4618" width="10.140625" style="1" bestFit="1" customWidth="1"/>
    <col min="4619" max="4865" width="9.140625" style="1"/>
    <col min="4866" max="4866" width="20.140625" style="1" bestFit="1" customWidth="1"/>
    <col min="4867" max="4867" width="11.140625" style="1" customWidth="1"/>
    <col min="4868" max="4868" width="112.140625" style="1" bestFit="1" customWidth="1"/>
    <col min="4869" max="4869" width="14.42578125" style="1" customWidth="1"/>
    <col min="4870" max="4870" width="20.140625" style="1" customWidth="1"/>
    <col min="4871" max="4871" width="18" style="1" bestFit="1" customWidth="1"/>
    <col min="4872" max="4872" width="41.42578125" style="1" customWidth="1"/>
    <col min="4873" max="4873" width="14.7109375" style="1" customWidth="1"/>
    <col min="4874" max="4874" width="10.140625" style="1" bestFit="1" customWidth="1"/>
    <col min="4875" max="5121" width="9.140625" style="1"/>
    <col min="5122" max="5122" width="20.140625" style="1" bestFit="1" customWidth="1"/>
    <col min="5123" max="5123" width="11.140625" style="1" customWidth="1"/>
    <col min="5124" max="5124" width="112.140625" style="1" bestFit="1" customWidth="1"/>
    <col min="5125" max="5125" width="14.42578125" style="1" customWidth="1"/>
    <col min="5126" max="5126" width="20.140625" style="1" customWidth="1"/>
    <col min="5127" max="5127" width="18" style="1" bestFit="1" customWidth="1"/>
    <col min="5128" max="5128" width="41.42578125" style="1" customWidth="1"/>
    <col min="5129" max="5129" width="14.7109375" style="1" customWidth="1"/>
    <col min="5130" max="5130" width="10.140625" style="1" bestFit="1" customWidth="1"/>
    <col min="5131" max="5377" width="9.140625" style="1"/>
    <col min="5378" max="5378" width="20.140625" style="1" bestFit="1" customWidth="1"/>
    <col min="5379" max="5379" width="11.140625" style="1" customWidth="1"/>
    <col min="5380" max="5380" width="112.140625" style="1" bestFit="1" customWidth="1"/>
    <col min="5381" max="5381" width="14.42578125" style="1" customWidth="1"/>
    <col min="5382" max="5382" width="20.140625" style="1" customWidth="1"/>
    <col min="5383" max="5383" width="18" style="1" bestFit="1" customWidth="1"/>
    <col min="5384" max="5384" width="41.42578125" style="1" customWidth="1"/>
    <col min="5385" max="5385" width="14.7109375" style="1" customWidth="1"/>
    <col min="5386" max="5386" width="10.140625" style="1" bestFit="1" customWidth="1"/>
    <col min="5387" max="5633" width="9.140625" style="1"/>
    <col min="5634" max="5634" width="20.140625" style="1" bestFit="1" customWidth="1"/>
    <col min="5635" max="5635" width="11.140625" style="1" customWidth="1"/>
    <col min="5636" max="5636" width="112.140625" style="1" bestFit="1" customWidth="1"/>
    <col min="5637" max="5637" width="14.42578125" style="1" customWidth="1"/>
    <col min="5638" max="5638" width="20.140625" style="1" customWidth="1"/>
    <col min="5639" max="5639" width="18" style="1" bestFit="1" customWidth="1"/>
    <col min="5640" max="5640" width="41.42578125" style="1" customWidth="1"/>
    <col min="5641" max="5641" width="14.7109375" style="1" customWidth="1"/>
    <col min="5642" max="5642" width="10.140625" style="1" bestFit="1" customWidth="1"/>
    <col min="5643" max="5889" width="9.140625" style="1"/>
    <col min="5890" max="5890" width="20.140625" style="1" bestFit="1" customWidth="1"/>
    <col min="5891" max="5891" width="11.140625" style="1" customWidth="1"/>
    <col min="5892" max="5892" width="112.140625" style="1" bestFit="1" customWidth="1"/>
    <col min="5893" max="5893" width="14.42578125" style="1" customWidth="1"/>
    <col min="5894" max="5894" width="20.140625" style="1" customWidth="1"/>
    <col min="5895" max="5895" width="18" style="1" bestFit="1" customWidth="1"/>
    <col min="5896" max="5896" width="41.42578125" style="1" customWidth="1"/>
    <col min="5897" max="5897" width="14.7109375" style="1" customWidth="1"/>
    <col min="5898" max="5898" width="10.140625" style="1" bestFit="1" customWidth="1"/>
    <col min="5899" max="6145" width="9.140625" style="1"/>
    <col min="6146" max="6146" width="20.140625" style="1" bestFit="1" customWidth="1"/>
    <col min="6147" max="6147" width="11.140625" style="1" customWidth="1"/>
    <col min="6148" max="6148" width="112.140625" style="1" bestFit="1" customWidth="1"/>
    <col min="6149" max="6149" width="14.42578125" style="1" customWidth="1"/>
    <col min="6150" max="6150" width="20.140625" style="1" customWidth="1"/>
    <col min="6151" max="6151" width="18" style="1" bestFit="1" customWidth="1"/>
    <col min="6152" max="6152" width="41.42578125" style="1" customWidth="1"/>
    <col min="6153" max="6153" width="14.7109375" style="1" customWidth="1"/>
    <col min="6154" max="6154" width="10.140625" style="1" bestFit="1" customWidth="1"/>
    <col min="6155" max="6401" width="9.140625" style="1"/>
    <col min="6402" max="6402" width="20.140625" style="1" bestFit="1" customWidth="1"/>
    <col min="6403" max="6403" width="11.140625" style="1" customWidth="1"/>
    <col min="6404" max="6404" width="112.140625" style="1" bestFit="1" customWidth="1"/>
    <col min="6405" max="6405" width="14.42578125" style="1" customWidth="1"/>
    <col min="6406" max="6406" width="20.140625" style="1" customWidth="1"/>
    <col min="6407" max="6407" width="18" style="1" bestFit="1" customWidth="1"/>
    <col min="6408" max="6408" width="41.42578125" style="1" customWidth="1"/>
    <col min="6409" max="6409" width="14.7109375" style="1" customWidth="1"/>
    <col min="6410" max="6410" width="10.140625" style="1" bestFit="1" customWidth="1"/>
    <col min="6411" max="6657" width="9.140625" style="1"/>
    <col min="6658" max="6658" width="20.140625" style="1" bestFit="1" customWidth="1"/>
    <col min="6659" max="6659" width="11.140625" style="1" customWidth="1"/>
    <col min="6660" max="6660" width="112.140625" style="1" bestFit="1" customWidth="1"/>
    <col min="6661" max="6661" width="14.42578125" style="1" customWidth="1"/>
    <col min="6662" max="6662" width="20.140625" style="1" customWidth="1"/>
    <col min="6663" max="6663" width="18" style="1" bestFit="1" customWidth="1"/>
    <col min="6664" max="6664" width="41.42578125" style="1" customWidth="1"/>
    <col min="6665" max="6665" width="14.7109375" style="1" customWidth="1"/>
    <col min="6666" max="6666" width="10.140625" style="1" bestFit="1" customWidth="1"/>
    <col min="6667" max="6913" width="9.140625" style="1"/>
    <col min="6914" max="6914" width="20.140625" style="1" bestFit="1" customWidth="1"/>
    <col min="6915" max="6915" width="11.140625" style="1" customWidth="1"/>
    <col min="6916" max="6916" width="112.140625" style="1" bestFit="1" customWidth="1"/>
    <col min="6917" max="6917" width="14.42578125" style="1" customWidth="1"/>
    <col min="6918" max="6918" width="20.140625" style="1" customWidth="1"/>
    <col min="6919" max="6919" width="18" style="1" bestFit="1" customWidth="1"/>
    <col min="6920" max="6920" width="41.42578125" style="1" customWidth="1"/>
    <col min="6921" max="6921" width="14.7109375" style="1" customWidth="1"/>
    <col min="6922" max="6922" width="10.140625" style="1" bestFit="1" customWidth="1"/>
    <col min="6923" max="7169" width="9.140625" style="1"/>
    <col min="7170" max="7170" width="20.140625" style="1" bestFit="1" customWidth="1"/>
    <col min="7171" max="7171" width="11.140625" style="1" customWidth="1"/>
    <col min="7172" max="7172" width="112.140625" style="1" bestFit="1" customWidth="1"/>
    <col min="7173" max="7173" width="14.42578125" style="1" customWidth="1"/>
    <col min="7174" max="7174" width="20.140625" style="1" customWidth="1"/>
    <col min="7175" max="7175" width="18" style="1" bestFit="1" customWidth="1"/>
    <col min="7176" max="7176" width="41.42578125" style="1" customWidth="1"/>
    <col min="7177" max="7177" width="14.7109375" style="1" customWidth="1"/>
    <col min="7178" max="7178" width="10.140625" style="1" bestFit="1" customWidth="1"/>
    <col min="7179" max="7425" width="9.140625" style="1"/>
    <col min="7426" max="7426" width="20.140625" style="1" bestFit="1" customWidth="1"/>
    <col min="7427" max="7427" width="11.140625" style="1" customWidth="1"/>
    <col min="7428" max="7428" width="112.140625" style="1" bestFit="1" customWidth="1"/>
    <col min="7429" max="7429" width="14.42578125" style="1" customWidth="1"/>
    <col min="7430" max="7430" width="20.140625" style="1" customWidth="1"/>
    <col min="7431" max="7431" width="18" style="1" bestFit="1" customWidth="1"/>
    <col min="7432" max="7432" width="41.42578125" style="1" customWidth="1"/>
    <col min="7433" max="7433" width="14.7109375" style="1" customWidth="1"/>
    <col min="7434" max="7434" width="10.140625" style="1" bestFit="1" customWidth="1"/>
    <col min="7435" max="7681" width="9.140625" style="1"/>
    <col min="7682" max="7682" width="20.140625" style="1" bestFit="1" customWidth="1"/>
    <col min="7683" max="7683" width="11.140625" style="1" customWidth="1"/>
    <col min="7684" max="7684" width="112.140625" style="1" bestFit="1" customWidth="1"/>
    <col min="7685" max="7685" width="14.42578125" style="1" customWidth="1"/>
    <col min="7686" max="7686" width="20.140625" style="1" customWidth="1"/>
    <col min="7687" max="7687" width="18" style="1" bestFit="1" customWidth="1"/>
    <col min="7688" max="7688" width="41.42578125" style="1" customWidth="1"/>
    <col min="7689" max="7689" width="14.7109375" style="1" customWidth="1"/>
    <col min="7690" max="7690" width="10.140625" style="1" bestFit="1" customWidth="1"/>
    <col min="7691" max="7937" width="9.140625" style="1"/>
    <col min="7938" max="7938" width="20.140625" style="1" bestFit="1" customWidth="1"/>
    <col min="7939" max="7939" width="11.140625" style="1" customWidth="1"/>
    <col min="7940" max="7940" width="112.140625" style="1" bestFit="1" customWidth="1"/>
    <col min="7941" max="7941" width="14.42578125" style="1" customWidth="1"/>
    <col min="7942" max="7942" width="20.140625" style="1" customWidth="1"/>
    <col min="7943" max="7943" width="18" style="1" bestFit="1" customWidth="1"/>
    <col min="7944" max="7944" width="41.42578125" style="1" customWidth="1"/>
    <col min="7945" max="7945" width="14.7109375" style="1" customWidth="1"/>
    <col min="7946" max="7946" width="10.140625" style="1" bestFit="1" customWidth="1"/>
    <col min="7947" max="8193" width="9.140625" style="1"/>
    <col min="8194" max="8194" width="20.140625" style="1" bestFit="1" customWidth="1"/>
    <col min="8195" max="8195" width="11.140625" style="1" customWidth="1"/>
    <col min="8196" max="8196" width="112.140625" style="1" bestFit="1" customWidth="1"/>
    <col min="8197" max="8197" width="14.42578125" style="1" customWidth="1"/>
    <col min="8198" max="8198" width="20.140625" style="1" customWidth="1"/>
    <col min="8199" max="8199" width="18" style="1" bestFit="1" customWidth="1"/>
    <col min="8200" max="8200" width="41.42578125" style="1" customWidth="1"/>
    <col min="8201" max="8201" width="14.7109375" style="1" customWidth="1"/>
    <col min="8202" max="8202" width="10.140625" style="1" bestFit="1" customWidth="1"/>
    <col min="8203" max="8449" width="9.140625" style="1"/>
    <col min="8450" max="8450" width="20.140625" style="1" bestFit="1" customWidth="1"/>
    <col min="8451" max="8451" width="11.140625" style="1" customWidth="1"/>
    <col min="8452" max="8452" width="112.140625" style="1" bestFit="1" customWidth="1"/>
    <col min="8453" max="8453" width="14.42578125" style="1" customWidth="1"/>
    <col min="8454" max="8454" width="20.140625" style="1" customWidth="1"/>
    <col min="8455" max="8455" width="18" style="1" bestFit="1" customWidth="1"/>
    <col min="8456" max="8456" width="41.42578125" style="1" customWidth="1"/>
    <col min="8457" max="8457" width="14.7109375" style="1" customWidth="1"/>
    <col min="8458" max="8458" width="10.140625" style="1" bestFit="1" customWidth="1"/>
    <col min="8459" max="8705" width="9.140625" style="1"/>
    <col min="8706" max="8706" width="20.140625" style="1" bestFit="1" customWidth="1"/>
    <col min="8707" max="8707" width="11.140625" style="1" customWidth="1"/>
    <col min="8708" max="8708" width="112.140625" style="1" bestFit="1" customWidth="1"/>
    <col min="8709" max="8709" width="14.42578125" style="1" customWidth="1"/>
    <col min="8710" max="8710" width="20.140625" style="1" customWidth="1"/>
    <col min="8711" max="8711" width="18" style="1" bestFit="1" customWidth="1"/>
    <col min="8712" max="8712" width="41.42578125" style="1" customWidth="1"/>
    <col min="8713" max="8713" width="14.7109375" style="1" customWidth="1"/>
    <col min="8714" max="8714" width="10.140625" style="1" bestFit="1" customWidth="1"/>
    <col min="8715" max="8961" width="9.140625" style="1"/>
    <col min="8962" max="8962" width="20.140625" style="1" bestFit="1" customWidth="1"/>
    <col min="8963" max="8963" width="11.140625" style="1" customWidth="1"/>
    <col min="8964" max="8964" width="112.140625" style="1" bestFit="1" customWidth="1"/>
    <col min="8965" max="8965" width="14.42578125" style="1" customWidth="1"/>
    <col min="8966" max="8966" width="20.140625" style="1" customWidth="1"/>
    <col min="8967" max="8967" width="18" style="1" bestFit="1" customWidth="1"/>
    <col min="8968" max="8968" width="41.42578125" style="1" customWidth="1"/>
    <col min="8969" max="8969" width="14.7109375" style="1" customWidth="1"/>
    <col min="8970" max="8970" width="10.140625" style="1" bestFit="1" customWidth="1"/>
    <col min="8971" max="9217" width="9.140625" style="1"/>
    <col min="9218" max="9218" width="20.140625" style="1" bestFit="1" customWidth="1"/>
    <col min="9219" max="9219" width="11.140625" style="1" customWidth="1"/>
    <col min="9220" max="9220" width="112.140625" style="1" bestFit="1" customWidth="1"/>
    <col min="9221" max="9221" width="14.42578125" style="1" customWidth="1"/>
    <col min="9222" max="9222" width="20.140625" style="1" customWidth="1"/>
    <col min="9223" max="9223" width="18" style="1" bestFit="1" customWidth="1"/>
    <col min="9224" max="9224" width="41.42578125" style="1" customWidth="1"/>
    <col min="9225" max="9225" width="14.7109375" style="1" customWidth="1"/>
    <col min="9226" max="9226" width="10.140625" style="1" bestFit="1" customWidth="1"/>
    <col min="9227" max="9473" width="9.140625" style="1"/>
    <col min="9474" max="9474" width="20.140625" style="1" bestFit="1" customWidth="1"/>
    <col min="9475" max="9475" width="11.140625" style="1" customWidth="1"/>
    <col min="9476" max="9476" width="112.140625" style="1" bestFit="1" customWidth="1"/>
    <col min="9477" max="9477" width="14.42578125" style="1" customWidth="1"/>
    <col min="9478" max="9478" width="20.140625" style="1" customWidth="1"/>
    <col min="9479" max="9479" width="18" style="1" bestFit="1" customWidth="1"/>
    <col min="9480" max="9480" width="41.42578125" style="1" customWidth="1"/>
    <col min="9481" max="9481" width="14.7109375" style="1" customWidth="1"/>
    <col min="9482" max="9482" width="10.140625" style="1" bestFit="1" customWidth="1"/>
    <col min="9483" max="9729" width="9.140625" style="1"/>
    <col min="9730" max="9730" width="20.140625" style="1" bestFit="1" customWidth="1"/>
    <col min="9731" max="9731" width="11.140625" style="1" customWidth="1"/>
    <col min="9732" max="9732" width="112.140625" style="1" bestFit="1" customWidth="1"/>
    <col min="9733" max="9733" width="14.42578125" style="1" customWidth="1"/>
    <col min="9734" max="9734" width="20.140625" style="1" customWidth="1"/>
    <col min="9735" max="9735" width="18" style="1" bestFit="1" customWidth="1"/>
    <col min="9736" max="9736" width="41.42578125" style="1" customWidth="1"/>
    <col min="9737" max="9737" width="14.7109375" style="1" customWidth="1"/>
    <col min="9738" max="9738" width="10.140625" style="1" bestFit="1" customWidth="1"/>
    <col min="9739" max="9985" width="9.140625" style="1"/>
    <col min="9986" max="9986" width="20.140625" style="1" bestFit="1" customWidth="1"/>
    <col min="9987" max="9987" width="11.140625" style="1" customWidth="1"/>
    <col min="9988" max="9988" width="112.140625" style="1" bestFit="1" customWidth="1"/>
    <col min="9989" max="9989" width="14.42578125" style="1" customWidth="1"/>
    <col min="9990" max="9990" width="20.140625" style="1" customWidth="1"/>
    <col min="9991" max="9991" width="18" style="1" bestFit="1" customWidth="1"/>
    <col min="9992" max="9992" width="41.42578125" style="1" customWidth="1"/>
    <col min="9993" max="9993" width="14.7109375" style="1" customWidth="1"/>
    <col min="9994" max="9994" width="10.140625" style="1" bestFit="1" customWidth="1"/>
    <col min="9995" max="10241" width="9.140625" style="1"/>
    <col min="10242" max="10242" width="20.140625" style="1" bestFit="1" customWidth="1"/>
    <col min="10243" max="10243" width="11.140625" style="1" customWidth="1"/>
    <col min="10244" max="10244" width="112.140625" style="1" bestFit="1" customWidth="1"/>
    <col min="10245" max="10245" width="14.42578125" style="1" customWidth="1"/>
    <col min="10246" max="10246" width="20.140625" style="1" customWidth="1"/>
    <col min="10247" max="10247" width="18" style="1" bestFit="1" customWidth="1"/>
    <col min="10248" max="10248" width="41.42578125" style="1" customWidth="1"/>
    <col min="10249" max="10249" width="14.7109375" style="1" customWidth="1"/>
    <col min="10250" max="10250" width="10.140625" style="1" bestFit="1" customWidth="1"/>
    <col min="10251" max="10497" width="9.140625" style="1"/>
    <col min="10498" max="10498" width="20.140625" style="1" bestFit="1" customWidth="1"/>
    <col min="10499" max="10499" width="11.140625" style="1" customWidth="1"/>
    <col min="10500" max="10500" width="112.140625" style="1" bestFit="1" customWidth="1"/>
    <col min="10501" max="10501" width="14.42578125" style="1" customWidth="1"/>
    <col min="10502" max="10502" width="20.140625" style="1" customWidth="1"/>
    <col min="10503" max="10503" width="18" style="1" bestFit="1" customWidth="1"/>
    <col min="10504" max="10504" width="41.42578125" style="1" customWidth="1"/>
    <col min="10505" max="10505" width="14.7109375" style="1" customWidth="1"/>
    <col min="10506" max="10506" width="10.140625" style="1" bestFit="1" customWidth="1"/>
    <col min="10507" max="10753" width="9.140625" style="1"/>
    <col min="10754" max="10754" width="20.140625" style="1" bestFit="1" customWidth="1"/>
    <col min="10755" max="10755" width="11.140625" style="1" customWidth="1"/>
    <col min="10756" max="10756" width="112.140625" style="1" bestFit="1" customWidth="1"/>
    <col min="10757" max="10757" width="14.42578125" style="1" customWidth="1"/>
    <col min="10758" max="10758" width="20.140625" style="1" customWidth="1"/>
    <col min="10759" max="10759" width="18" style="1" bestFit="1" customWidth="1"/>
    <col min="10760" max="10760" width="41.42578125" style="1" customWidth="1"/>
    <col min="10761" max="10761" width="14.7109375" style="1" customWidth="1"/>
    <col min="10762" max="10762" width="10.140625" style="1" bestFit="1" customWidth="1"/>
    <col min="10763" max="11009" width="9.140625" style="1"/>
    <col min="11010" max="11010" width="20.140625" style="1" bestFit="1" customWidth="1"/>
    <col min="11011" max="11011" width="11.140625" style="1" customWidth="1"/>
    <col min="11012" max="11012" width="112.140625" style="1" bestFit="1" customWidth="1"/>
    <col min="11013" max="11013" width="14.42578125" style="1" customWidth="1"/>
    <col min="11014" max="11014" width="20.140625" style="1" customWidth="1"/>
    <col min="11015" max="11015" width="18" style="1" bestFit="1" customWidth="1"/>
    <col min="11016" max="11016" width="41.42578125" style="1" customWidth="1"/>
    <col min="11017" max="11017" width="14.7109375" style="1" customWidth="1"/>
    <col min="11018" max="11018" width="10.140625" style="1" bestFit="1" customWidth="1"/>
    <col min="11019" max="11265" width="9.140625" style="1"/>
    <col min="11266" max="11266" width="20.140625" style="1" bestFit="1" customWidth="1"/>
    <col min="11267" max="11267" width="11.140625" style="1" customWidth="1"/>
    <col min="11268" max="11268" width="112.140625" style="1" bestFit="1" customWidth="1"/>
    <col min="11269" max="11269" width="14.42578125" style="1" customWidth="1"/>
    <col min="11270" max="11270" width="20.140625" style="1" customWidth="1"/>
    <col min="11271" max="11271" width="18" style="1" bestFit="1" customWidth="1"/>
    <col min="11272" max="11272" width="41.42578125" style="1" customWidth="1"/>
    <col min="11273" max="11273" width="14.7109375" style="1" customWidth="1"/>
    <col min="11274" max="11274" width="10.140625" style="1" bestFit="1" customWidth="1"/>
    <col min="11275" max="11521" width="9.140625" style="1"/>
    <col min="11522" max="11522" width="20.140625" style="1" bestFit="1" customWidth="1"/>
    <col min="11523" max="11523" width="11.140625" style="1" customWidth="1"/>
    <col min="11524" max="11524" width="112.140625" style="1" bestFit="1" customWidth="1"/>
    <col min="11525" max="11525" width="14.42578125" style="1" customWidth="1"/>
    <col min="11526" max="11526" width="20.140625" style="1" customWidth="1"/>
    <col min="11527" max="11527" width="18" style="1" bestFit="1" customWidth="1"/>
    <col min="11528" max="11528" width="41.42578125" style="1" customWidth="1"/>
    <col min="11529" max="11529" width="14.7109375" style="1" customWidth="1"/>
    <col min="11530" max="11530" width="10.140625" style="1" bestFit="1" customWidth="1"/>
    <col min="11531" max="11777" width="9.140625" style="1"/>
    <col min="11778" max="11778" width="20.140625" style="1" bestFit="1" customWidth="1"/>
    <col min="11779" max="11779" width="11.140625" style="1" customWidth="1"/>
    <col min="11780" max="11780" width="112.140625" style="1" bestFit="1" customWidth="1"/>
    <col min="11781" max="11781" width="14.42578125" style="1" customWidth="1"/>
    <col min="11782" max="11782" width="20.140625" style="1" customWidth="1"/>
    <col min="11783" max="11783" width="18" style="1" bestFit="1" customWidth="1"/>
    <col min="11784" max="11784" width="41.42578125" style="1" customWidth="1"/>
    <col min="11785" max="11785" width="14.7109375" style="1" customWidth="1"/>
    <col min="11786" max="11786" width="10.140625" style="1" bestFit="1" customWidth="1"/>
    <col min="11787" max="12033" width="9.140625" style="1"/>
    <col min="12034" max="12034" width="20.140625" style="1" bestFit="1" customWidth="1"/>
    <col min="12035" max="12035" width="11.140625" style="1" customWidth="1"/>
    <col min="12036" max="12036" width="112.140625" style="1" bestFit="1" customWidth="1"/>
    <col min="12037" max="12037" width="14.42578125" style="1" customWidth="1"/>
    <col min="12038" max="12038" width="20.140625" style="1" customWidth="1"/>
    <col min="12039" max="12039" width="18" style="1" bestFit="1" customWidth="1"/>
    <col min="12040" max="12040" width="41.42578125" style="1" customWidth="1"/>
    <col min="12041" max="12041" width="14.7109375" style="1" customWidth="1"/>
    <col min="12042" max="12042" width="10.140625" style="1" bestFit="1" customWidth="1"/>
    <col min="12043" max="12289" width="9.140625" style="1"/>
    <col min="12290" max="12290" width="20.140625" style="1" bestFit="1" customWidth="1"/>
    <col min="12291" max="12291" width="11.140625" style="1" customWidth="1"/>
    <col min="12292" max="12292" width="112.140625" style="1" bestFit="1" customWidth="1"/>
    <col min="12293" max="12293" width="14.42578125" style="1" customWidth="1"/>
    <col min="12294" max="12294" width="20.140625" style="1" customWidth="1"/>
    <col min="12295" max="12295" width="18" style="1" bestFit="1" customWidth="1"/>
    <col min="12296" max="12296" width="41.42578125" style="1" customWidth="1"/>
    <col min="12297" max="12297" width="14.7109375" style="1" customWidth="1"/>
    <col min="12298" max="12298" width="10.140625" style="1" bestFit="1" customWidth="1"/>
    <col min="12299" max="12545" width="9.140625" style="1"/>
    <col min="12546" max="12546" width="20.140625" style="1" bestFit="1" customWidth="1"/>
    <col min="12547" max="12547" width="11.140625" style="1" customWidth="1"/>
    <col min="12548" max="12548" width="112.140625" style="1" bestFit="1" customWidth="1"/>
    <col min="12549" max="12549" width="14.42578125" style="1" customWidth="1"/>
    <col min="12550" max="12550" width="20.140625" style="1" customWidth="1"/>
    <col min="12551" max="12551" width="18" style="1" bestFit="1" customWidth="1"/>
    <col min="12552" max="12552" width="41.42578125" style="1" customWidth="1"/>
    <col min="12553" max="12553" width="14.7109375" style="1" customWidth="1"/>
    <col min="12554" max="12554" width="10.140625" style="1" bestFit="1" customWidth="1"/>
    <col min="12555" max="12801" width="9.140625" style="1"/>
    <col min="12802" max="12802" width="20.140625" style="1" bestFit="1" customWidth="1"/>
    <col min="12803" max="12803" width="11.140625" style="1" customWidth="1"/>
    <col min="12804" max="12804" width="112.140625" style="1" bestFit="1" customWidth="1"/>
    <col min="12805" max="12805" width="14.42578125" style="1" customWidth="1"/>
    <col min="12806" max="12806" width="20.140625" style="1" customWidth="1"/>
    <col min="12807" max="12807" width="18" style="1" bestFit="1" customWidth="1"/>
    <col min="12808" max="12808" width="41.42578125" style="1" customWidth="1"/>
    <col min="12809" max="12809" width="14.7109375" style="1" customWidth="1"/>
    <col min="12810" max="12810" width="10.140625" style="1" bestFit="1" customWidth="1"/>
    <col min="12811" max="13057" width="9.140625" style="1"/>
    <col min="13058" max="13058" width="20.140625" style="1" bestFit="1" customWidth="1"/>
    <col min="13059" max="13059" width="11.140625" style="1" customWidth="1"/>
    <col min="13060" max="13060" width="112.140625" style="1" bestFit="1" customWidth="1"/>
    <col min="13061" max="13061" width="14.42578125" style="1" customWidth="1"/>
    <col min="13062" max="13062" width="20.140625" style="1" customWidth="1"/>
    <col min="13063" max="13063" width="18" style="1" bestFit="1" customWidth="1"/>
    <col min="13064" max="13064" width="41.42578125" style="1" customWidth="1"/>
    <col min="13065" max="13065" width="14.7109375" style="1" customWidth="1"/>
    <col min="13066" max="13066" width="10.140625" style="1" bestFit="1" customWidth="1"/>
    <col min="13067" max="13313" width="9.140625" style="1"/>
    <col min="13314" max="13314" width="20.140625" style="1" bestFit="1" customWidth="1"/>
    <col min="13315" max="13315" width="11.140625" style="1" customWidth="1"/>
    <col min="13316" max="13316" width="112.140625" style="1" bestFit="1" customWidth="1"/>
    <col min="13317" max="13317" width="14.42578125" style="1" customWidth="1"/>
    <col min="13318" max="13318" width="20.140625" style="1" customWidth="1"/>
    <col min="13319" max="13319" width="18" style="1" bestFit="1" customWidth="1"/>
    <col min="13320" max="13320" width="41.42578125" style="1" customWidth="1"/>
    <col min="13321" max="13321" width="14.7109375" style="1" customWidth="1"/>
    <col min="13322" max="13322" width="10.140625" style="1" bestFit="1" customWidth="1"/>
    <col min="13323" max="13569" width="9.140625" style="1"/>
    <col min="13570" max="13570" width="20.140625" style="1" bestFit="1" customWidth="1"/>
    <col min="13571" max="13571" width="11.140625" style="1" customWidth="1"/>
    <col min="13572" max="13572" width="112.140625" style="1" bestFit="1" customWidth="1"/>
    <col min="13573" max="13573" width="14.42578125" style="1" customWidth="1"/>
    <col min="13574" max="13574" width="20.140625" style="1" customWidth="1"/>
    <col min="13575" max="13575" width="18" style="1" bestFit="1" customWidth="1"/>
    <col min="13576" max="13576" width="41.42578125" style="1" customWidth="1"/>
    <col min="13577" max="13577" width="14.7109375" style="1" customWidth="1"/>
    <col min="13578" max="13578" width="10.140625" style="1" bestFit="1" customWidth="1"/>
    <col min="13579" max="13825" width="9.140625" style="1"/>
    <col min="13826" max="13826" width="20.140625" style="1" bestFit="1" customWidth="1"/>
    <col min="13827" max="13827" width="11.140625" style="1" customWidth="1"/>
    <col min="13828" max="13828" width="112.140625" style="1" bestFit="1" customWidth="1"/>
    <col min="13829" max="13829" width="14.42578125" style="1" customWidth="1"/>
    <col min="13830" max="13830" width="20.140625" style="1" customWidth="1"/>
    <col min="13831" max="13831" width="18" style="1" bestFit="1" customWidth="1"/>
    <col min="13832" max="13832" width="41.42578125" style="1" customWidth="1"/>
    <col min="13833" max="13833" width="14.7109375" style="1" customWidth="1"/>
    <col min="13834" max="13834" width="10.140625" style="1" bestFit="1" customWidth="1"/>
    <col min="13835" max="14081" width="9.140625" style="1"/>
    <col min="14082" max="14082" width="20.140625" style="1" bestFit="1" customWidth="1"/>
    <col min="14083" max="14083" width="11.140625" style="1" customWidth="1"/>
    <col min="14084" max="14084" width="112.140625" style="1" bestFit="1" customWidth="1"/>
    <col min="14085" max="14085" width="14.42578125" style="1" customWidth="1"/>
    <col min="14086" max="14086" width="20.140625" style="1" customWidth="1"/>
    <col min="14087" max="14087" width="18" style="1" bestFit="1" customWidth="1"/>
    <col min="14088" max="14088" width="41.42578125" style="1" customWidth="1"/>
    <col min="14089" max="14089" width="14.7109375" style="1" customWidth="1"/>
    <col min="14090" max="14090" width="10.140625" style="1" bestFit="1" customWidth="1"/>
    <col min="14091" max="14337" width="9.140625" style="1"/>
    <col min="14338" max="14338" width="20.140625" style="1" bestFit="1" customWidth="1"/>
    <col min="14339" max="14339" width="11.140625" style="1" customWidth="1"/>
    <col min="14340" max="14340" width="112.140625" style="1" bestFit="1" customWidth="1"/>
    <col min="14341" max="14341" width="14.42578125" style="1" customWidth="1"/>
    <col min="14342" max="14342" width="20.140625" style="1" customWidth="1"/>
    <col min="14343" max="14343" width="18" style="1" bestFit="1" customWidth="1"/>
    <col min="14344" max="14344" width="41.42578125" style="1" customWidth="1"/>
    <col min="14345" max="14345" width="14.7109375" style="1" customWidth="1"/>
    <col min="14346" max="14346" width="10.140625" style="1" bestFit="1" customWidth="1"/>
    <col min="14347" max="14593" width="9.140625" style="1"/>
    <col min="14594" max="14594" width="20.140625" style="1" bestFit="1" customWidth="1"/>
    <col min="14595" max="14595" width="11.140625" style="1" customWidth="1"/>
    <col min="14596" max="14596" width="112.140625" style="1" bestFit="1" customWidth="1"/>
    <col min="14597" max="14597" width="14.42578125" style="1" customWidth="1"/>
    <col min="14598" max="14598" width="20.140625" style="1" customWidth="1"/>
    <col min="14599" max="14599" width="18" style="1" bestFit="1" customWidth="1"/>
    <col min="14600" max="14600" width="41.42578125" style="1" customWidth="1"/>
    <col min="14601" max="14601" width="14.7109375" style="1" customWidth="1"/>
    <col min="14602" max="14602" width="10.140625" style="1" bestFit="1" customWidth="1"/>
    <col min="14603" max="14849" width="9.140625" style="1"/>
    <col min="14850" max="14850" width="20.140625" style="1" bestFit="1" customWidth="1"/>
    <col min="14851" max="14851" width="11.140625" style="1" customWidth="1"/>
    <col min="14852" max="14852" width="112.140625" style="1" bestFit="1" customWidth="1"/>
    <col min="14853" max="14853" width="14.42578125" style="1" customWidth="1"/>
    <col min="14854" max="14854" width="20.140625" style="1" customWidth="1"/>
    <col min="14855" max="14855" width="18" style="1" bestFit="1" customWidth="1"/>
    <col min="14856" max="14856" width="41.42578125" style="1" customWidth="1"/>
    <col min="14857" max="14857" width="14.7109375" style="1" customWidth="1"/>
    <col min="14858" max="14858" width="10.140625" style="1" bestFit="1" customWidth="1"/>
    <col min="14859" max="15105" width="9.140625" style="1"/>
    <col min="15106" max="15106" width="20.140625" style="1" bestFit="1" customWidth="1"/>
    <col min="15107" max="15107" width="11.140625" style="1" customWidth="1"/>
    <col min="15108" max="15108" width="112.140625" style="1" bestFit="1" customWidth="1"/>
    <col min="15109" max="15109" width="14.42578125" style="1" customWidth="1"/>
    <col min="15110" max="15110" width="20.140625" style="1" customWidth="1"/>
    <col min="15111" max="15111" width="18" style="1" bestFit="1" customWidth="1"/>
    <col min="15112" max="15112" width="41.42578125" style="1" customWidth="1"/>
    <col min="15113" max="15113" width="14.7109375" style="1" customWidth="1"/>
    <col min="15114" max="15114" width="10.140625" style="1" bestFit="1" customWidth="1"/>
    <col min="15115" max="15361" width="9.140625" style="1"/>
    <col min="15362" max="15362" width="20.140625" style="1" bestFit="1" customWidth="1"/>
    <col min="15363" max="15363" width="11.140625" style="1" customWidth="1"/>
    <col min="15364" max="15364" width="112.140625" style="1" bestFit="1" customWidth="1"/>
    <col min="15365" max="15365" width="14.42578125" style="1" customWidth="1"/>
    <col min="15366" max="15366" width="20.140625" style="1" customWidth="1"/>
    <col min="15367" max="15367" width="18" style="1" bestFit="1" customWidth="1"/>
    <col min="15368" max="15368" width="41.42578125" style="1" customWidth="1"/>
    <col min="15369" max="15369" width="14.7109375" style="1" customWidth="1"/>
    <col min="15370" max="15370" width="10.140625" style="1" bestFit="1" customWidth="1"/>
    <col min="15371" max="15617" width="9.140625" style="1"/>
    <col min="15618" max="15618" width="20.140625" style="1" bestFit="1" customWidth="1"/>
    <col min="15619" max="15619" width="11.140625" style="1" customWidth="1"/>
    <col min="15620" max="15620" width="112.140625" style="1" bestFit="1" customWidth="1"/>
    <col min="15621" max="15621" width="14.42578125" style="1" customWidth="1"/>
    <col min="15622" max="15622" width="20.140625" style="1" customWidth="1"/>
    <col min="15623" max="15623" width="18" style="1" bestFit="1" customWidth="1"/>
    <col min="15624" max="15624" width="41.42578125" style="1" customWidth="1"/>
    <col min="15625" max="15625" width="14.7109375" style="1" customWidth="1"/>
    <col min="15626" max="15626" width="10.140625" style="1" bestFit="1" customWidth="1"/>
    <col min="15627" max="15873" width="9.140625" style="1"/>
    <col min="15874" max="15874" width="20.140625" style="1" bestFit="1" customWidth="1"/>
    <col min="15875" max="15875" width="11.140625" style="1" customWidth="1"/>
    <col min="15876" max="15876" width="112.140625" style="1" bestFit="1" customWidth="1"/>
    <col min="15877" max="15877" width="14.42578125" style="1" customWidth="1"/>
    <col min="15878" max="15878" width="20.140625" style="1" customWidth="1"/>
    <col min="15879" max="15879" width="18" style="1" bestFit="1" customWidth="1"/>
    <col min="15880" max="15880" width="41.42578125" style="1" customWidth="1"/>
    <col min="15881" max="15881" width="14.7109375" style="1" customWidth="1"/>
    <col min="15882" max="15882" width="10.140625" style="1" bestFit="1" customWidth="1"/>
    <col min="15883" max="16129" width="9.140625" style="1"/>
    <col min="16130" max="16130" width="20.140625" style="1" bestFit="1" customWidth="1"/>
    <col min="16131" max="16131" width="11.140625" style="1" customWidth="1"/>
    <col min="16132" max="16132" width="112.140625" style="1" bestFit="1" customWidth="1"/>
    <col min="16133" max="16133" width="14.42578125" style="1" customWidth="1"/>
    <col min="16134" max="16134" width="20.140625" style="1" customWidth="1"/>
    <col min="16135" max="16135" width="18" style="1" bestFit="1" customWidth="1"/>
    <col min="16136" max="16136" width="41.42578125" style="1" customWidth="1"/>
    <col min="16137" max="16137" width="14.7109375" style="1" customWidth="1"/>
    <col min="16138" max="16138" width="10.140625" style="1" bestFit="1" customWidth="1"/>
    <col min="16139" max="16384" width="9.140625" style="1"/>
  </cols>
  <sheetData>
    <row r="1" spans="1:9" ht="33" customHeight="1" x14ac:dyDescent="0.25">
      <c r="A1" s="38" t="s">
        <v>50</v>
      </c>
      <c r="B1" s="38"/>
      <c r="C1" s="38"/>
      <c r="D1" s="38"/>
      <c r="E1" s="38"/>
      <c r="F1" s="38"/>
      <c r="G1" s="38"/>
      <c r="H1" s="38"/>
      <c r="I1" s="1"/>
    </row>
    <row r="2" spans="1:9" ht="33" customHeight="1" x14ac:dyDescent="0.25">
      <c r="A2" s="38" t="s">
        <v>0</v>
      </c>
      <c r="B2" s="38"/>
      <c r="C2" s="38"/>
      <c r="D2" s="38"/>
      <c r="E2" s="38"/>
      <c r="F2" s="38"/>
      <c r="G2" s="38"/>
      <c r="H2" s="38"/>
      <c r="I2" s="1"/>
    </row>
    <row r="3" spans="1:9" ht="33" customHeight="1" x14ac:dyDescent="0.2">
      <c r="A3" s="39" t="s">
        <v>1</v>
      </c>
      <c r="B3" s="39"/>
      <c r="C3" s="39"/>
      <c r="D3" s="39"/>
      <c r="E3" s="39"/>
      <c r="F3" s="39"/>
      <c r="G3" s="39"/>
      <c r="H3" s="39"/>
      <c r="I3" s="1"/>
    </row>
    <row r="4" spans="1:9" ht="14.25" x14ac:dyDescent="0.25">
      <c r="A4" s="4"/>
      <c r="B4" s="9"/>
      <c r="C4" s="6"/>
      <c r="D4" s="2"/>
      <c r="E4" s="7"/>
      <c r="F4" s="2"/>
      <c r="G4" s="5"/>
      <c r="H4" s="5"/>
      <c r="I4" s="1"/>
    </row>
    <row r="5" spans="1:9" ht="38.25" x14ac:dyDescent="0.25">
      <c r="A5" s="22" t="s">
        <v>2</v>
      </c>
      <c r="B5" s="23" t="s">
        <v>3</v>
      </c>
      <c r="C5" s="24" t="s">
        <v>8</v>
      </c>
      <c r="D5" s="25" t="s">
        <v>4</v>
      </c>
      <c r="E5" s="28" t="s">
        <v>31</v>
      </c>
      <c r="F5" s="26" t="s">
        <v>5</v>
      </c>
      <c r="G5" s="27" t="s">
        <v>6</v>
      </c>
      <c r="H5" s="24" t="s">
        <v>7</v>
      </c>
      <c r="I5" s="1"/>
    </row>
    <row r="6" spans="1:9" ht="12.75" x14ac:dyDescent="0.2">
      <c r="A6" s="11" t="s">
        <v>9</v>
      </c>
      <c r="B6" s="12">
        <v>44317</v>
      </c>
      <c r="C6" s="13" t="str">
        <f>"AFG Management Consulting SA, Camorino"</f>
        <v>AFG Management Consulting SA, Camorino</v>
      </c>
      <c r="D6" s="13" t="str">
        <f>"coordinamento progetto  mappatura processi TRESA"</f>
        <v>coordinamento progetto  mappatura processi TRESA</v>
      </c>
      <c r="E6" s="14">
        <v>32150</v>
      </c>
      <c r="F6" s="11" t="s">
        <v>11</v>
      </c>
      <c r="G6" s="11" t="s">
        <v>12</v>
      </c>
      <c r="H6" s="20" t="s">
        <v>53</v>
      </c>
      <c r="I6" s="1"/>
    </row>
    <row r="7" spans="1:9" ht="12.75" x14ac:dyDescent="0.2">
      <c r="A7" s="11" t="s">
        <v>9</v>
      </c>
      <c r="B7" s="12">
        <v>44292</v>
      </c>
      <c r="C7" s="13" t="s">
        <v>56</v>
      </c>
      <c r="D7" s="13" t="str">
        <f>"messa in sicurezza lavatoio barico  lavatoio di Barico"</f>
        <v>messa in sicurezza lavatoio barico  lavatoio di Barico</v>
      </c>
      <c r="E7" s="14">
        <v>25998.15</v>
      </c>
      <c r="F7" s="11" t="s">
        <v>13</v>
      </c>
      <c r="G7" s="11" t="s">
        <v>12</v>
      </c>
      <c r="H7" s="11" t="s">
        <v>52</v>
      </c>
      <c r="I7" s="1"/>
    </row>
    <row r="8" spans="1:9" ht="12.75" x14ac:dyDescent="0.2">
      <c r="A8" s="11" t="s">
        <v>9</v>
      </c>
      <c r="B8" s="12">
        <v>29.102021000000001</v>
      </c>
      <c r="C8" s="13" t="str">
        <f>"Allways Consulting Sagl, Agno"</f>
        <v>Allways Consulting Sagl, Agno</v>
      </c>
      <c r="D8" s="13" t="str">
        <f>"stampa bollettino Municipio Tresa"</f>
        <v>stampa bollettino Municipio Tresa</v>
      </c>
      <c r="E8" s="14">
        <v>6463.25</v>
      </c>
      <c r="F8" s="11" t="s">
        <v>11</v>
      </c>
      <c r="G8" s="11" t="s">
        <v>12</v>
      </c>
      <c r="H8" s="11" t="s">
        <v>52</v>
      </c>
      <c r="I8" s="1"/>
    </row>
    <row r="9" spans="1:9" ht="12.75" x14ac:dyDescent="0.2">
      <c r="A9" s="11" t="s">
        <v>9</v>
      </c>
      <c r="B9" s="12">
        <v>44207</v>
      </c>
      <c r="C9" s="13" t="str">
        <f>"Amstutz Roberto Marco Macelleria, Magliaso"</f>
        <v>Amstutz Roberto Marco Macelleria, Magliaso</v>
      </c>
      <c r="D9" s="13" t="str">
        <f>"fornitura generi alimentari mensa scolastica"</f>
        <v>fornitura generi alimentari mensa scolastica</v>
      </c>
      <c r="E9" s="14">
        <v>10825.5</v>
      </c>
      <c r="F9" s="11" t="s">
        <v>14</v>
      </c>
      <c r="G9" s="11" t="s">
        <v>12</v>
      </c>
      <c r="H9" s="11" t="s">
        <v>52</v>
      </c>
      <c r="I9" s="1"/>
    </row>
    <row r="10" spans="1:9" ht="12.75" x14ac:dyDescent="0.2">
      <c r="A10" s="11" t="s">
        <v>9</v>
      </c>
      <c r="B10" s="12">
        <v>44512</v>
      </c>
      <c r="C10" s="13" t="str">
        <f>"Applicolor S.A., Lugano Noranco"</f>
        <v>Applicolor S.A., Lugano Noranco</v>
      </c>
      <c r="D10" s="13" t="str">
        <f>"segnaletica orizzontale manutenzione 2021"</f>
        <v>segnaletica orizzontale manutenzione 2021</v>
      </c>
      <c r="E10" s="14">
        <v>9789.75</v>
      </c>
      <c r="F10" s="11" t="s">
        <v>11</v>
      </c>
      <c r="G10" s="11" t="s">
        <v>12</v>
      </c>
      <c r="H10" s="11" t="s">
        <v>52</v>
      </c>
      <c r="I10" s="1"/>
    </row>
    <row r="11" spans="1:9" ht="12.75" x14ac:dyDescent="0.2">
      <c r="A11" s="11" t="s">
        <v>9</v>
      </c>
      <c r="B11" s="12">
        <v>44459</v>
      </c>
      <c r="C11" s="13" t="str">
        <f>"ARU SA, Lugano"</f>
        <v>ARU SA, Lugano</v>
      </c>
      <c r="D11" s="13" t="str">
        <f>"definizione del processo di valutazione dei  collaboratori"</f>
        <v>definizione del processo di valutazione dei  collaboratori</v>
      </c>
      <c r="E11" s="14">
        <v>5500</v>
      </c>
      <c r="F11" s="11" t="s">
        <v>11</v>
      </c>
      <c r="G11" s="11" t="s">
        <v>12</v>
      </c>
      <c r="H11" s="11" t="s">
        <v>52</v>
      </c>
      <c r="I11" s="1"/>
    </row>
    <row r="12" spans="1:9" ht="12.75" x14ac:dyDescent="0.2">
      <c r="A12" s="11" t="s">
        <v>9</v>
      </c>
      <c r="B12" s="12">
        <v>44531</v>
      </c>
      <c r="C12" s="13" t="str">
        <f>"Bernasconi e Forrer ingegneria e misurazioni SA, Breganzona"</f>
        <v>Bernasconi e Forrer ingegneria e misurazioni SA, Breganzona</v>
      </c>
      <c r="D12" s="13" t="str">
        <f>"Tenuta a giorno misurazioni  catastali 2020 - Croglio"</f>
        <v>Tenuta a giorno misurazioni  catastali 2020 - Croglio</v>
      </c>
      <c r="E12" s="14">
        <v>14413.3</v>
      </c>
      <c r="F12" s="15" t="s">
        <v>11</v>
      </c>
      <c r="G12" s="11" t="s">
        <v>12</v>
      </c>
      <c r="H12" s="11" t="s">
        <v>52</v>
      </c>
      <c r="I12" s="1"/>
    </row>
    <row r="13" spans="1:9" ht="12.75" x14ac:dyDescent="0.2">
      <c r="A13" s="11" t="s">
        <v>9</v>
      </c>
      <c r="B13" s="12">
        <v>44242</v>
      </c>
      <c r="C13" s="13" t="str">
        <f>"Bernasconi e Forrer ingegneria e misurazioni SA, Breganzona"</f>
        <v>Bernasconi e Forrer ingegneria e misurazioni SA, Breganzona</v>
      </c>
      <c r="D13" s="13" t="s">
        <v>15</v>
      </c>
      <c r="E13" s="14">
        <v>33450</v>
      </c>
      <c r="F13" s="15" t="s">
        <v>11</v>
      </c>
      <c r="G13" s="11" t="s">
        <v>12</v>
      </c>
      <c r="H13" s="11" t="s">
        <v>52</v>
      </c>
      <c r="I13" s="1"/>
    </row>
    <row r="14" spans="1:9" ht="12.75" x14ac:dyDescent="0.2">
      <c r="A14" s="11" t="s">
        <v>9</v>
      </c>
      <c r="B14" s="12">
        <v>44203</v>
      </c>
      <c r="C14" s="13" t="str">
        <f>"Centro di Calcolo Elettronico Ing. Lombardi SA, Gordola"</f>
        <v>Centro di Calcolo Elettronico Ing. Lombardi SA, Gordola</v>
      </c>
      <c r="D14" s="13" t="s">
        <v>19</v>
      </c>
      <c r="E14" s="14">
        <v>10121.75</v>
      </c>
      <c r="F14" s="15" t="s">
        <v>11</v>
      </c>
      <c r="G14" s="11" t="s">
        <v>12</v>
      </c>
      <c r="H14" s="20" t="s">
        <v>53</v>
      </c>
      <c r="I14" s="1"/>
    </row>
    <row r="15" spans="1:9" ht="12.75" x14ac:dyDescent="0.2">
      <c r="A15" s="11" t="s">
        <v>9</v>
      </c>
      <c r="B15" s="12">
        <v>44511</v>
      </c>
      <c r="C15" s="13" t="str">
        <f>"Creativedigital Sagl, Lugano"</f>
        <v>Creativedigital Sagl, Lugano</v>
      </c>
      <c r="D15" s="13" t="str">
        <f>"Progetto Web Portal  Comune Tresa"</f>
        <v>Progetto Web Portal  Comune Tresa</v>
      </c>
      <c r="E15" s="14">
        <v>7740</v>
      </c>
      <c r="F15" s="15" t="s">
        <v>11</v>
      </c>
      <c r="G15" s="11" t="s">
        <v>12</v>
      </c>
      <c r="H15" s="11" t="s">
        <v>52</v>
      </c>
      <c r="I15" s="1"/>
    </row>
    <row r="16" spans="1:9" ht="12.75" x14ac:dyDescent="0.2">
      <c r="A16" s="11" t="s">
        <v>9</v>
      </c>
      <c r="B16" s="12">
        <v>44207</v>
      </c>
      <c r="C16" s="13" t="str">
        <f>"ECSA Chemicals AG, Flawil"</f>
        <v>ECSA Chemicals AG, Flawil</v>
      </c>
      <c r="D16" s="13" t="str">
        <f>"soda caustica"</f>
        <v>soda caustica</v>
      </c>
      <c r="E16" s="14">
        <v>5224.05</v>
      </c>
      <c r="F16" s="15" t="s">
        <v>14</v>
      </c>
      <c r="G16" s="11" t="s">
        <v>12</v>
      </c>
      <c r="H16" s="11" t="s">
        <v>52</v>
      </c>
      <c r="I16" s="1"/>
    </row>
    <row r="17" spans="1:9" ht="12.75" x14ac:dyDescent="0.2">
      <c r="A17" s="11" t="s">
        <v>9</v>
      </c>
      <c r="B17" s="12">
        <v>44280</v>
      </c>
      <c r="C17" s="13" t="str">
        <f>"Flavio Morosoli SA, Lugano Barbengo"</f>
        <v>Flavio Morosoli SA, Lugano Barbengo</v>
      </c>
      <c r="D17" s="13" t="str">
        <f>"acquisto materiale e elettrodomestici cucina mensa"</f>
        <v>acquisto materiale e elettrodomestici cucina mensa</v>
      </c>
      <c r="E17" s="16">
        <v>24008.5</v>
      </c>
      <c r="F17" s="15" t="s">
        <v>14</v>
      </c>
      <c r="G17" s="11" t="s">
        <v>16</v>
      </c>
      <c r="H17" s="11" t="s">
        <v>60</v>
      </c>
      <c r="I17" s="1"/>
    </row>
    <row r="18" spans="1:9" ht="12.75" x14ac:dyDescent="0.2">
      <c r="A18" s="11" t="s">
        <v>9</v>
      </c>
      <c r="B18" s="12">
        <v>44207</v>
      </c>
      <c r="C18" s="13" t="s">
        <v>57</v>
      </c>
      <c r="D18" s="13" t="s">
        <v>17</v>
      </c>
      <c r="E18" s="16">
        <v>27138.86</v>
      </c>
      <c r="F18" s="15" t="s">
        <v>11</v>
      </c>
      <c r="G18" s="11" t="s">
        <v>12</v>
      </c>
      <c r="H18" s="11" t="s">
        <v>52</v>
      </c>
      <c r="I18" s="1"/>
    </row>
    <row r="19" spans="1:9" ht="12.75" x14ac:dyDescent="0.2">
      <c r="A19" s="11" t="s">
        <v>9</v>
      </c>
      <c r="B19" s="12">
        <v>44342</v>
      </c>
      <c r="C19" s="13" t="str">
        <f>"Fratelli G. e E. Baumgartner SA, Balerna"</f>
        <v>Fratelli G. e E. Baumgartner SA, Balerna</v>
      </c>
      <c r="D19" s="13" t="str">
        <f>"acquisto teleai e adattatori per adattamento archivio ufficio tecnico comunale Tresa"</f>
        <v>acquisto teleai e adattatori per adattamento archivio ufficio tecnico comunale Tresa</v>
      </c>
      <c r="E19" s="16">
        <v>10000</v>
      </c>
      <c r="F19" s="15" t="s">
        <v>14</v>
      </c>
      <c r="G19" s="11" t="s">
        <v>12</v>
      </c>
      <c r="H19" s="20" t="s">
        <v>53</v>
      </c>
      <c r="I19" s="1"/>
    </row>
    <row r="20" spans="1:9" ht="12.75" x14ac:dyDescent="0.2">
      <c r="A20" s="11" t="s">
        <v>9</v>
      </c>
      <c r="B20" s="12">
        <v>44219</v>
      </c>
      <c r="C20" s="13" t="str">
        <f>"Fratelli Gallo SA, Tresa Croglio"</f>
        <v>Fratelli Gallo SA, Tresa Croglio</v>
      </c>
      <c r="D20" s="13" t="str">
        <f>"opere da copritetto posteggi Barico e stabile Caseificio, ripristino danni maltempo"</f>
        <v>opere da copritetto posteggi Barico e stabile Caseificio, ripristino danni maltempo</v>
      </c>
      <c r="E20" s="14">
        <v>11680.6</v>
      </c>
      <c r="F20" s="19" t="s">
        <v>51</v>
      </c>
      <c r="G20" s="11" t="s">
        <v>12</v>
      </c>
      <c r="H20" s="11" t="s">
        <v>52</v>
      </c>
      <c r="I20" s="1"/>
    </row>
    <row r="21" spans="1:9" ht="12.75" x14ac:dyDescent="0.2">
      <c r="A21" s="11" t="s">
        <v>9</v>
      </c>
      <c r="B21" s="12">
        <v>44207</v>
      </c>
      <c r="C21" s="13" t="str">
        <f>"Garage Ruspini SA, Tresa Croglio"</f>
        <v>Garage Ruspini SA, Tresa Croglio</v>
      </c>
      <c r="D21" s="13" t="s">
        <v>18</v>
      </c>
      <c r="E21" s="14">
        <v>109247.05</v>
      </c>
      <c r="F21" s="15" t="s">
        <v>11</v>
      </c>
      <c r="G21" s="11" t="s">
        <v>12</v>
      </c>
      <c r="H21" s="11" t="s">
        <v>52</v>
      </c>
      <c r="I21" s="1"/>
    </row>
    <row r="22" spans="1:9" ht="12.75" x14ac:dyDescent="0.2">
      <c r="A22" s="11" t="s">
        <v>9</v>
      </c>
      <c r="B22" s="12">
        <v>44455</v>
      </c>
      <c r="C22" s="13" t="str">
        <f>"Garage-Carrozzeria Zoccatelli Sagl, Tresa Croglio"</f>
        <v>Garage-Carrozzeria Zoccatelli Sagl, Tresa Croglio</v>
      </c>
      <c r="D22" s="13" t="str">
        <f>"acquisto veicolo VW e UP comune di Tresa"</f>
        <v>acquisto veicolo VW e UP comune di Tresa</v>
      </c>
      <c r="E22" s="14">
        <v>22469.8</v>
      </c>
      <c r="F22" s="15" t="s">
        <v>14</v>
      </c>
      <c r="G22" s="11" t="s">
        <v>12</v>
      </c>
      <c r="H22" s="11" t="s">
        <v>52</v>
      </c>
      <c r="I22" s="1"/>
    </row>
    <row r="23" spans="1:9" ht="12.75" x14ac:dyDescent="0.2">
      <c r="A23" s="11" t="s">
        <v>9</v>
      </c>
      <c r="B23" s="12">
        <v>44207</v>
      </c>
      <c r="C23" s="13" t="str">
        <f>"Garbani SA, Lugano"</f>
        <v>Garbani SA, Lugano</v>
      </c>
      <c r="D23" s="13" t="str">
        <f>"acquisto materiale scolastico sede Croglio"</f>
        <v>acquisto materiale scolastico sede Croglio</v>
      </c>
      <c r="E23" s="14">
        <v>8391.7000000000007</v>
      </c>
      <c r="F23" s="15" t="s">
        <v>14</v>
      </c>
      <c r="G23" s="11" t="s">
        <v>12</v>
      </c>
      <c r="H23" s="11" t="s">
        <v>52</v>
      </c>
      <c r="I23" s="1"/>
    </row>
    <row r="24" spans="1:9" ht="12.75" x14ac:dyDescent="0.2">
      <c r="A24" s="11" t="s">
        <v>9</v>
      </c>
      <c r="B24" s="12">
        <v>44487</v>
      </c>
      <c r="C24" s="13" t="str">
        <f>"Geniomeccanica SA, Sant'Antonino"</f>
        <v>Geniomeccanica SA, Sant'Antonino</v>
      </c>
      <c r="D24" s="13" t="str">
        <f>"Acquisto spazzatrice elettrica MAXWIND comune di Tresa"</f>
        <v>Acquisto spazzatrice elettrica MAXWIND comune di Tresa</v>
      </c>
      <c r="E24" s="14">
        <v>26083.3</v>
      </c>
      <c r="F24" s="15" t="s">
        <v>14</v>
      </c>
      <c r="G24" s="11" t="s">
        <v>16</v>
      </c>
      <c r="H24" s="11" t="s">
        <v>60</v>
      </c>
      <c r="I24" s="1"/>
    </row>
    <row r="25" spans="1:9" ht="12.75" x14ac:dyDescent="0.2">
      <c r="A25" s="11" t="s">
        <v>9</v>
      </c>
      <c r="B25" s="12">
        <v>44207</v>
      </c>
      <c r="C25" s="13" t="str">
        <f>"Geosar SA, Agno"</f>
        <v>Geosar SA, Agno</v>
      </c>
      <c r="D25" s="13" t="str">
        <f>"licenza annuale e manutenzione software soft gis"</f>
        <v>licenza annuale e manutenzione software soft gis</v>
      </c>
      <c r="E25" s="16">
        <v>5764</v>
      </c>
      <c r="F25" s="15" t="s">
        <v>11</v>
      </c>
      <c r="G25" s="11" t="s">
        <v>12</v>
      </c>
      <c r="H25" s="11" t="s">
        <v>52</v>
      </c>
      <c r="I25" s="1"/>
    </row>
    <row r="26" spans="1:9" ht="12.75" x14ac:dyDescent="0.2">
      <c r="A26" s="11" t="s">
        <v>9</v>
      </c>
      <c r="B26" s="12">
        <v>44362</v>
      </c>
      <c r="C26" s="13" t="str">
        <f>"Gianni Ochsner Servizi Pubblici SA, Lamone"</f>
        <v>Gianni Ochsner Servizi Pubblici SA, Lamone</v>
      </c>
      <c r="D26" s="13" t="s">
        <v>20</v>
      </c>
      <c r="E26" s="14">
        <v>6932.8</v>
      </c>
      <c r="F26" s="15" t="s">
        <v>14</v>
      </c>
      <c r="G26" s="11" t="s">
        <v>12</v>
      </c>
      <c r="H26" s="11" t="s">
        <v>52</v>
      </c>
      <c r="I26" s="1"/>
    </row>
    <row r="27" spans="1:9" ht="12.75" x14ac:dyDescent="0.2">
      <c r="A27" s="11" t="s">
        <v>9</v>
      </c>
      <c r="B27" s="12">
        <v>44207</v>
      </c>
      <c r="C27" s="13" t="str">
        <f>"Giovanni Agustoni SA, Lamone"</f>
        <v>Giovanni Agustoni SA, Lamone</v>
      </c>
      <c r="D27" s="13" t="s">
        <v>21</v>
      </c>
      <c r="E27" s="14">
        <v>75426.75</v>
      </c>
      <c r="F27" s="15" t="s">
        <v>11</v>
      </c>
      <c r="G27" s="11" t="s">
        <v>12</v>
      </c>
      <c r="H27" s="11" t="s">
        <v>52</v>
      </c>
      <c r="I27" s="1"/>
    </row>
    <row r="28" spans="1:9" ht="12.75" x14ac:dyDescent="0.2">
      <c r="A28" s="11" t="s">
        <v>9</v>
      </c>
      <c r="B28" s="12">
        <v>44207</v>
      </c>
      <c r="C28" s="13" t="str">
        <f>"Grünenfelder SA, Quartino"</f>
        <v>Grünenfelder SA, Quartino</v>
      </c>
      <c r="D28" s="13" t="s">
        <v>22</v>
      </c>
      <c r="E28" s="14">
        <v>19927</v>
      </c>
      <c r="F28" s="15" t="s">
        <v>14</v>
      </c>
      <c r="G28" s="11" t="s">
        <v>12</v>
      </c>
      <c r="H28" s="11" t="s">
        <v>52</v>
      </c>
      <c r="I28" s="1"/>
    </row>
    <row r="29" spans="1:9" ht="12.75" x14ac:dyDescent="0.2">
      <c r="A29" s="11" t="s">
        <v>9</v>
      </c>
      <c r="B29" s="12">
        <v>44517</v>
      </c>
      <c r="C29" s="13" t="str">
        <f>"Hinni AG, Lugano Cadro"</f>
        <v>Hinni AG, Lugano Cadro</v>
      </c>
      <c r="D29" s="13" t="str">
        <f>"ispezione, manutenzione e revisione idranti anno 2021"</f>
        <v>ispezione, manutenzione e revisione idranti anno 2021</v>
      </c>
      <c r="E29" s="14">
        <v>8021.95</v>
      </c>
      <c r="F29" s="15" t="s">
        <v>11</v>
      </c>
      <c r="G29" s="11" t="s">
        <v>12</v>
      </c>
      <c r="H29" s="11" t="s">
        <v>52</v>
      </c>
      <c r="I29" s="1"/>
    </row>
    <row r="30" spans="1:9" ht="12.75" x14ac:dyDescent="0.2">
      <c r="A30" s="11" t="s">
        <v>9</v>
      </c>
      <c r="B30" s="12">
        <v>44207</v>
      </c>
      <c r="C30" s="13" t="str">
        <f>"ICTeam SA, Bioggio"</f>
        <v>ICTeam SA, Bioggio</v>
      </c>
      <c r="D30" s="13" t="s">
        <v>23</v>
      </c>
      <c r="E30" s="17">
        <v>8332.25</v>
      </c>
      <c r="F30" s="15" t="s">
        <v>11</v>
      </c>
      <c r="G30" s="18" t="s">
        <v>12</v>
      </c>
      <c r="H30" s="11" t="s">
        <v>52</v>
      </c>
      <c r="I30" s="1"/>
    </row>
    <row r="31" spans="1:9" ht="12.75" x14ac:dyDescent="0.2">
      <c r="A31" s="11" t="s">
        <v>9</v>
      </c>
      <c r="B31" s="12">
        <v>44207</v>
      </c>
      <c r="C31" s="13" t="str">
        <f t="shared" ref="C31:C32" si="0">"ICTeam SA, Bioggio"</f>
        <v>ICTeam SA, Bioggio</v>
      </c>
      <c r="D31" s="13" t="s">
        <v>24</v>
      </c>
      <c r="E31" s="14">
        <v>10341.299999999999</v>
      </c>
      <c r="F31" s="15" t="s">
        <v>11</v>
      </c>
      <c r="G31" s="11" t="s">
        <v>12</v>
      </c>
      <c r="H31" s="11" t="s">
        <v>52</v>
      </c>
      <c r="I31" s="1"/>
    </row>
    <row r="32" spans="1:9" ht="12.75" x14ac:dyDescent="0.2">
      <c r="A32" s="11" t="s">
        <v>9</v>
      </c>
      <c r="B32" s="12">
        <v>44285</v>
      </c>
      <c r="C32" s="13" t="str">
        <f t="shared" si="0"/>
        <v>ICTeam SA, Bioggio</v>
      </c>
      <c r="D32" s="13" t="s">
        <v>25</v>
      </c>
      <c r="E32" s="14">
        <v>50070.65</v>
      </c>
      <c r="F32" s="15" t="s">
        <v>14</v>
      </c>
      <c r="G32" s="11" t="s">
        <v>12</v>
      </c>
      <c r="H32" s="11" t="s">
        <v>52</v>
      </c>
      <c r="I32" s="1"/>
    </row>
    <row r="33" spans="1:9" ht="12.75" x14ac:dyDescent="0.2">
      <c r="A33" s="11" t="s">
        <v>9</v>
      </c>
      <c r="B33" s="12">
        <v>44313</v>
      </c>
      <c r="C33" s="13" t="str">
        <f>"IFEC ingegneria SA, Rivera"</f>
        <v>IFEC ingegneria SA, Rivera</v>
      </c>
      <c r="D33" s="13" t="str">
        <f>"risanamento centro Lüsc - progettazione definitiva"</f>
        <v>risanamento centro Lüsc - progettazione definitiva</v>
      </c>
      <c r="E33" s="14">
        <v>34970</v>
      </c>
      <c r="F33" s="15" t="s">
        <v>11</v>
      </c>
      <c r="G33" s="11" t="s">
        <v>12</v>
      </c>
      <c r="H33" s="11" t="s">
        <v>52</v>
      </c>
      <c r="I33" s="1"/>
    </row>
    <row r="34" spans="1:9" ht="12.75" x14ac:dyDescent="0.2">
      <c r="A34" s="11" t="s">
        <v>9</v>
      </c>
      <c r="B34" s="12">
        <v>44496</v>
      </c>
      <c r="C34" s="13" t="str">
        <f>"Impresa costruzioni Pervangher di Fernando Pervangher, Airolo"</f>
        <v>Impresa costruzioni Pervangher di Fernando Pervangher, Airolo</v>
      </c>
      <c r="D34" s="13" t="str">
        <f>"interventi di sistemazione urgenze  riale Romanino"</f>
        <v>interventi di sistemazione urgenze  riale Romanino</v>
      </c>
      <c r="E34" s="14">
        <v>22386.799999999999</v>
      </c>
      <c r="F34" s="15" t="s">
        <v>51</v>
      </c>
      <c r="G34" s="11" t="s">
        <v>12</v>
      </c>
      <c r="H34" s="11" t="s">
        <v>52</v>
      </c>
      <c r="I34" s="1"/>
    </row>
    <row r="35" spans="1:9" ht="12.75" x14ac:dyDescent="0.2">
      <c r="A35" s="11" t="s">
        <v>9</v>
      </c>
      <c r="B35" s="12">
        <v>44550</v>
      </c>
      <c r="C35" s="13" t="str">
        <f>"Ingegneria Bottani &amp; Associati SA, Caslano"</f>
        <v>Ingegneria Bottani &amp; Associati SA, Caslano</v>
      </c>
      <c r="D35" s="13" t="str">
        <f>"progettazione sistemazione e messa in sicurezza  del campo stradale Via Sassello"</f>
        <v>progettazione sistemazione e messa in sicurezza  del campo stradale Via Sassello</v>
      </c>
      <c r="E35" s="14">
        <v>7046</v>
      </c>
      <c r="F35" s="19" t="s">
        <v>11</v>
      </c>
      <c r="G35" s="11" t="s">
        <v>12</v>
      </c>
      <c r="H35" s="11" t="s">
        <v>52</v>
      </c>
      <c r="I35" s="1"/>
    </row>
    <row r="36" spans="1:9" ht="12.75" x14ac:dyDescent="0.2">
      <c r="A36" s="11" t="s">
        <v>9</v>
      </c>
      <c r="B36" s="12">
        <v>44438</v>
      </c>
      <c r="C36" s="13" t="str">
        <f t="shared" ref="C36:C38" si="1">"Ingegneria Bottani &amp; Associati SA, Caslano"</f>
        <v>Ingegneria Bottani &amp; Associati SA, Caslano</v>
      </c>
      <c r="D36" s="13" t="str">
        <f>"direzione lavori sistemazione strada e infrastruttura  Purasca Inferiore zona Campagna"</f>
        <v>direzione lavori sistemazione strada e infrastruttura  Purasca Inferiore zona Campagna</v>
      </c>
      <c r="E36" s="14">
        <v>35384.75</v>
      </c>
      <c r="F36" s="15" t="s">
        <v>11</v>
      </c>
      <c r="G36" s="11" t="s">
        <v>12</v>
      </c>
      <c r="H36" s="11" t="s">
        <v>52</v>
      </c>
      <c r="I36" s="1"/>
    </row>
    <row r="37" spans="1:9" ht="12.75" x14ac:dyDescent="0.2">
      <c r="A37" s="11" t="s">
        <v>9</v>
      </c>
      <c r="B37" s="12">
        <v>44302</v>
      </c>
      <c r="C37" s="13" t="str">
        <f t="shared" si="1"/>
        <v>Ingegneria Bottani &amp; Associati SA, Caslano</v>
      </c>
      <c r="D37" s="13" t="str">
        <f>"progettazione rifacimento condotta acqua potabile  PGA 1°tappa ""La Piana"""</f>
        <v>progettazione rifacimento condotta acqua potabile  PGA 1°tappa "La Piana"</v>
      </c>
      <c r="E37" s="14">
        <v>6939</v>
      </c>
      <c r="F37" s="15" t="s">
        <v>11</v>
      </c>
      <c r="G37" s="11" t="s">
        <v>12</v>
      </c>
      <c r="H37" s="11" t="s">
        <v>52</v>
      </c>
      <c r="I37" s="1"/>
    </row>
    <row r="38" spans="1:9" ht="12.75" x14ac:dyDescent="0.2">
      <c r="A38" s="11" t="s">
        <v>9</v>
      </c>
      <c r="B38" s="12">
        <v>44263</v>
      </c>
      <c r="C38" s="13" t="str">
        <f t="shared" si="1"/>
        <v>Ingegneria Bottani &amp; Associati SA, Caslano</v>
      </c>
      <c r="D38" s="13" t="str">
        <f>"direzione lavori sistemazione campo stradale  e infrastrutture Via Campagna"</f>
        <v>direzione lavori sistemazione campo stradale  e infrastrutture Via Campagna</v>
      </c>
      <c r="E38" s="14">
        <v>45786.8</v>
      </c>
      <c r="F38" s="15" t="s">
        <v>11</v>
      </c>
      <c r="G38" s="11" t="s">
        <v>12</v>
      </c>
      <c r="H38" s="11" t="s">
        <v>52</v>
      </c>
      <c r="I38" s="1"/>
    </row>
    <row r="39" spans="1:9" ht="12.75" x14ac:dyDescent="0.2">
      <c r="A39" s="11" t="s">
        <v>9</v>
      </c>
      <c r="B39" s="12">
        <v>44260</v>
      </c>
      <c r="C39" s="13" t="str">
        <f>"Interfida revisioni e cons. SA, Chiasso"</f>
        <v>Interfida revisioni e cons. SA, Chiasso</v>
      </c>
      <c r="D39" s="13" t="str">
        <f>"Revisione consuntivo 2020 Croglio"</f>
        <v>Revisione consuntivo 2020 Croglio</v>
      </c>
      <c r="E39" s="14">
        <v>7500</v>
      </c>
      <c r="F39" s="15" t="s">
        <v>11</v>
      </c>
      <c r="G39" s="11" t="s">
        <v>12</v>
      </c>
      <c r="H39" s="11" t="s">
        <v>52</v>
      </c>
      <c r="I39" s="1"/>
    </row>
    <row r="40" spans="1:9" ht="12.75" x14ac:dyDescent="0.2">
      <c r="A40" s="11" t="s">
        <v>9</v>
      </c>
      <c r="B40" s="12">
        <v>44336</v>
      </c>
      <c r="C40" s="13" t="str">
        <f>"Interfida revisioni e cons. SA, Chiasso"</f>
        <v>Interfida revisioni e cons. SA, Chiasso</v>
      </c>
      <c r="D40" s="13" t="str">
        <f>"consulenza e prestazioni progetto aggregativo"</f>
        <v>consulenza e prestazioni progetto aggregativo</v>
      </c>
      <c r="E40" s="14">
        <v>11000</v>
      </c>
      <c r="F40" s="15" t="s">
        <v>11</v>
      </c>
      <c r="G40" s="11" t="s">
        <v>12</v>
      </c>
      <c r="H40" s="11" t="s">
        <v>52</v>
      </c>
      <c r="I40" s="1"/>
    </row>
    <row r="41" spans="1:9" ht="12.75" x14ac:dyDescent="0.2">
      <c r="A41" s="11" t="s">
        <v>9</v>
      </c>
      <c r="B41" s="12">
        <v>44207</v>
      </c>
      <c r="C41" s="13" t="str">
        <f>"ISS Facility Services AG, Manno"</f>
        <v>ISS Facility Services AG, Manno</v>
      </c>
      <c r="D41" s="13" t="s">
        <v>26</v>
      </c>
      <c r="E41" s="14">
        <v>15888.8</v>
      </c>
      <c r="F41" s="19" t="s">
        <v>11</v>
      </c>
      <c r="G41" s="11" t="s">
        <v>12</v>
      </c>
      <c r="H41" s="11" t="s">
        <v>52</v>
      </c>
      <c r="I41" s="1"/>
    </row>
    <row r="42" spans="1:9" ht="12.75" x14ac:dyDescent="0.2">
      <c r="A42" s="11" t="s">
        <v>9</v>
      </c>
      <c r="B42" s="12">
        <v>44335</v>
      </c>
      <c r="C42" s="13" t="str">
        <f>"ISS Kanal Services AG, Manno"</f>
        <v>ISS Kanal Services AG, Manno</v>
      </c>
      <c r="D42" s="13" t="str">
        <f>"pulizia pozzetti Croglio"</f>
        <v>pulizia pozzetti Croglio</v>
      </c>
      <c r="E42" s="14">
        <v>10642.45</v>
      </c>
      <c r="F42" s="15" t="s">
        <v>11</v>
      </c>
      <c r="G42" s="11" t="s">
        <v>12</v>
      </c>
      <c r="H42" s="11" t="s">
        <v>52</v>
      </c>
      <c r="I42" s="1"/>
    </row>
    <row r="43" spans="1:9" ht="12.75" x14ac:dyDescent="0.2">
      <c r="A43" s="11" t="s">
        <v>9</v>
      </c>
      <c r="B43" s="12">
        <v>44207</v>
      </c>
      <c r="C43" s="13" t="str">
        <f>"Luca Castelli SA, Arbedo Castione"</f>
        <v>Luca Castelli SA, Arbedo Castione</v>
      </c>
      <c r="D43" s="13" t="str">
        <f>"acquisto abbigliamento squadra esterna"</f>
        <v>acquisto abbigliamento squadra esterna</v>
      </c>
      <c r="E43" s="14">
        <v>8701.1</v>
      </c>
      <c r="F43" s="15" t="s">
        <v>14</v>
      </c>
      <c r="G43" s="11" t="s">
        <v>12</v>
      </c>
      <c r="H43" s="11" t="s">
        <v>52</v>
      </c>
      <c r="I43" s="1"/>
    </row>
    <row r="44" spans="1:9" ht="12.75" x14ac:dyDescent="0.2">
      <c r="A44" s="11" t="s">
        <v>9</v>
      </c>
      <c r="B44" s="12">
        <v>44294</v>
      </c>
      <c r="C44" s="13" t="str">
        <f>"Lucchini &amp; Canepa Ingegneria SA, Viganello"</f>
        <v>Lucchini &amp; Canepa Ingegneria SA, Viganello</v>
      </c>
      <c r="D44" s="13" t="str">
        <f>"Riale Romanino - progettazione e direzione lavori opere urgenti "</f>
        <v xml:space="preserve">Riale Romanino - progettazione e direzione lavori opere urgenti </v>
      </c>
      <c r="E44" s="14">
        <v>17920.25</v>
      </c>
      <c r="F44" s="15" t="s">
        <v>11</v>
      </c>
      <c r="G44" s="11" t="s">
        <v>12</v>
      </c>
      <c r="H44" s="11" t="s">
        <v>54</v>
      </c>
      <c r="I44" s="1"/>
    </row>
    <row r="45" spans="1:9" ht="12.75" x14ac:dyDescent="0.2">
      <c r="A45" s="11" t="s">
        <v>9</v>
      </c>
      <c r="B45" s="12">
        <v>44207</v>
      </c>
      <c r="C45" s="13" t="str">
        <f>"Lucchini &amp; Lippuner SA, Viganello"</f>
        <v>Lucchini &amp; Lippuner SA, Viganello</v>
      </c>
      <c r="D45" s="13" t="str">
        <f>"Monitoraggio frana Romanino anno 2021"</f>
        <v>Monitoraggio frana Romanino anno 2021</v>
      </c>
      <c r="E45" s="14">
        <v>9870.4</v>
      </c>
      <c r="F45" s="15" t="s">
        <v>11</v>
      </c>
      <c r="G45" s="11" t="s">
        <v>12</v>
      </c>
      <c r="H45" s="11" t="s">
        <v>52</v>
      </c>
      <c r="I45" s="1"/>
    </row>
    <row r="46" spans="1:9" ht="12.75" x14ac:dyDescent="0.2">
      <c r="A46" s="11" t="s">
        <v>9</v>
      </c>
      <c r="B46" s="12">
        <v>44207</v>
      </c>
      <c r="C46" s="35" t="str">
        <f>"MAG Legis SA  studio legale, Lugano"</f>
        <v>MAG Legis SA  studio legale, Lugano</v>
      </c>
      <c r="D46" s="35" t="str">
        <f>"pratica successione fu Ada Marcoli"</f>
        <v>pratica successione fu Ada Marcoli</v>
      </c>
      <c r="E46" s="14">
        <v>67979.600000000006</v>
      </c>
      <c r="F46" s="15" t="s">
        <v>11</v>
      </c>
      <c r="G46" s="11" t="s">
        <v>12</v>
      </c>
      <c r="H46" s="11" t="s">
        <v>54</v>
      </c>
      <c r="I46" s="1"/>
    </row>
    <row r="47" spans="1:9" ht="12.75" x14ac:dyDescent="0.2">
      <c r="A47" s="11" t="s">
        <v>9</v>
      </c>
      <c r="B47" s="12">
        <v>44270</v>
      </c>
      <c r="C47" s="13" t="str">
        <f>"Manfrini SA, Tresa Croglio"</f>
        <v>Manfrini SA, Tresa Croglio</v>
      </c>
      <c r="D47" s="13" t="str">
        <f>"interventi presso SI Castelrotto  danni acqua "</f>
        <v xml:space="preserve">interventi presso SI Castelrotto  danni acqua </v>
      </c>
      <c r="E47" s="14">
        <v>10595.65</v>
      </c>
      <c r="F47" s="15" t="s">
        <v>51</v>
      </c>
      <c r="G47" s="11" t="s">
        <v>12</v>
      </c>
      <c r="H47" s="11" t="s">
        <v>52</v>
      </c>
      <c r="I47" s="1"/>
    </row>
    <row r="48" spans="1:9" ht="12.75" x14ac:dyDescent="0.2">
      <c r="A48" s="11" t="s">
        <v>9</v>
      </c>
      <c r="B48" s="12">
        <v>44417</v>
      </c>
      <c r="C48" s="13" t="str">
        <f>"Messerli Tecnica, Tresa Croglio"</f>
        <v>Messerli Tecnica, Tresa Croglio</v>
      </c>
      <c r="D48" s="13" t="str">
        <f>"fornitura nuovo trattorino GTS per tagli erba "</f>
        <v xml:space="preserve">fornitura nuovo trattorino GTS per tagli erba </v>
      </c>
      <c r="E48" s="14">
        <v>20891.650000000001</v>
      </c>
      <c r="F48" s="15" t="s">
        <v>14</v>
      </c>
      <c r="G48" s="11" t="s">
        <v>12</v>
      </c>
      <c r="H48" s="11" t="s">
        <v>52</v>
      </c>
      <c r="I48" s="1"/>
    </row>
    <row r="49" spans="1:9" ht="12.75" x14ac:dyDescent="0.2">
      <c r="A49" s="11" t="s">
        <v>9</v>
      </c>
      <c r="B49" s="12">
        <v>44207</v>
      </c>
      <c r="C49" s="13" t="str">
        <f>"Messerli Tecnica, Tresa Croglio"</f>
        <v>Messerli Tecnica, Tresa Croglio</v>
      </c>
      <c r="D49" s="13" t="str">
        <f>"acquisto materiale vario squadra esterna"</f>
        <v>acquisto materiale vario squadra esterna</v>
      </c>
      <c r="E49" s="14">
        <v>11893.15</v>
      </c>
      <c r="F49" s="15" t="s">
        <v>14</v>
      </c>
      <c r="G49" s="11" t="s">
        <v>12</v>
      </c>
      <c r="H49" s="11" t="s">
        <v>52</v>
      </c>
      <c r="I49" s="1"/>
    </row>
    <row r="50" spans="1:9" ht="12.75" x14ac:dyDescent="0.2">
      <c r="A50" s="11" t="s">
        <v>9</v>
      </c>
      <c r="B50" s="12">
        <v>44207</v>
      </c>
      <c r="C50" s="13" t="str">
        <f>"MTF Business Solutions SA, Manno"</f>
        <v>MTF Business Solutions SA, Manno</v>
      </c>
      <c r="D50" s="13" t="s">
        <v>27</v>
      </c>
      <c r="E50" s="14">
        <v>30427.5</v>
      </c>
      <c r="F50" s="15" t="s">
        <v>11</v>
      </c>
      <c r="G50" s="11" t="s">
        <v>12</v>
      </c>
      <c r="H50" s="11" t="s">
        <v>52</v>
      </c>
      <c r="I50" s="1"/>
    </row>
    <row r="51" spans="1:9" ht="12.75" x14ac:dyDescent="0.2">
      <c r="A51" s="11" t="s">
        <v>9</v>
      </c>
      <c r="B51" s="12">
        <v>44498</v>
      </c>
      <c r="C51" s="13" t="str">
        <f>"Pedrazzini Costruzioni SA, Agno"</f>
        <v>Pedrazzini Costruzioni SA, Agno</v>
      </c>
      <c r="D51" s="13" t="str">
        <f>"rifacimento strada Sassello Barico"</f>
        <v>rifacimento strada Sassello Barico</v>
      </c>
      <c r="E51" s="14">
        <v>59315</v>
      </c>
      <c r="F51" s="15" t="s">
        <v>13</v>
      </c>
      <c r="G51" s="11" t="s">
        <v>16</v>
      </c>
      <c r="H51" s="11" t="s">
        <v>10</v>
      </c>
      <c r="I51" s="1"/>
    </row>
    <row r="52" spans="1:9" ht="12.75" x14ac:dyDescent="0.2">
      <c r="A52" s="11" t="s">
        <v>9</v>
      </c>
      <c r="B52" s="12">
        <v>44207</v>
      </c>
      <c r="C52" s="13" t="str">
        <f>"Pemsa SA, Lugano"</f>
        <v>Pemsa SA, Lugano</v>
      </c>
      <c r="D52" s="13" t="str">
        <f>"messa a disposizione personale avventizio"</f>
        <v>messa a disposizione personale avventizio</v>
      </c>
      <c r="E52" s="14">
        <v>17001</v>
      </c>
      <c r="F52" s="15" t="s">
        <v>14</v>
      </c>
      <c r="G52" s="11" t="s">
        <v>12</v>
      </c>
      <c r="H52" s="11" t="s">
        <v>52</v>
      </c>
      <c r="I52" s="1"/>
    </row>
    <row r="53" spans="1:9" ht="12.75" x14ac:dyDescent="0.2">
      <c r="A53" s="11" t="s">
        <v>9</v>
      </c>
      <c r="B53" s="12">
        <v>44378</v>
      </c>
      <c r="C53" s="13" t="str">
        <f>"Puliconsult SA, Caslano"</f>
        <v>Puliconsult SA, Caslano</v>
      </c>
      <c r="D53" s="13" t="s">
        <v>28</v>
      </c>
      <c r="E53" s="14">
        <v>25773</v>
      </c>
      <c r="F53" s="15" t="s">
        <v>14</v>
      </c>
      <c r="G53" s="11" t="s">
        <v>16</v>
      </c>
      <c r="H53" s="11" t="s">
        <v>60</v>
      </c>
      <c r="I53" s="1"/>
    </row>
    <row r="54" spans="1:9" ht="12.75" x14ac:dyDescent="0.2">
      <c r="A54" s="11" t="s">
        <v>9</v>
      </c>
      <c r="B54" s="12">
        <v>44312</v>
      </c>
      <c r="C54" s="13" t="str">
        <f>"Rossi  Fabrizio, Bissone"</f>
        <v>Rossi  Fabrizio, Bissone</v>
      </c>
      <c r="D54" s="13" t="str">
        <f>"Controllo combustione 19°ciclo  dal 01.09.2019 al 26.04.2021"</f>
        <v>Controllo combustione 19°ciclo  dal 01.09.2019 al 26.04.2021</v>
      </c>
      <c r="E54" s="14">
        <v>14312.2</v>
      </c>
      <c r="F54" s="15" t="s">
        <v>11</v>
      </c>
      <c r="G54" s="11" t="s">
        <v>16</v>
      </c>
      <c r="H54" s="11" t="s">
        <v>60</v>
      </c>
      <c r="I54" s="1"/>
    </row>
    <row r="55" spans="1:9" ht="12.75" x14ac:dyDescent="0.2">
      <c r="A55" s="11" t="s">
        <v>9</v>
      </c>
      <c r="B55" s="12">
        <v>44207</v>
      </c>
      <c r="C55" s="13" t="str">
        <f>"RS Recupero Materiali SA, Bironico"</f>
        <v>RS Recupero Materiali SA, Bironico</v>
      </c>
      <c r="D55" s="13" t="str">
        <f>"smaltimento vetro e fornitura e ritiro sacchi raccolta plastica"</f>
        <v>smaltimento vetro e fornitura e ritiro sacchi raccolta plastica</v>
      </c>
      <c r="E55" s="14">
        <v>11640.5</v>
      </c>
      <c r="F55" s="15" t="s">
        <v>11</v>
      </c>
      <c r="G55" s="11" t="s">
        <v>12</v>
      </c>
      <c r="H55" s="11" t="s">
        <v>52</v>
      </c>
      <c r="I55" s="1"/>
    </row>
    <row r="56" spans="1:9" ht="12.75" x14ac:dyDescent="0.2">
      <c r="A56" s="11" t="s">
        <v>9</v>
      </c>
      <c r="B56" s="12">
        <v>44266</v>
      </c>
      <c r="C56" s="13" t="str">
        <f>"Sandro Campana, Tresa Croglio"</f>
        <v>Sandro Campana, Tresa Croglio</v>
      </c>
      <c r="D56" s="13" t="str">
        <f>"ripristino facciate casa Comunale Croglio"</f>
        <v>ripristino facciate casa Comunale Croglio</v>
      </c>
      <c r="E56" s="14">
        <v>27547.4</v>
      </c>
      <c r="F56" s="19" t="s">
        <v>51</v>
      </c>
      <c r="G56" s="20" t="s">
        <v>12</v>
      </c>
      <c r="H56" s="11" t="s">
        <v>52</v>
      </c>
      <c r="I56" s="1"/>
    </row>
    <row r="57" spans="1:9" ht="12.75" x14ac:dyDescent="0.2">
      <c r="A57" s="11" t="s">
        <v>9</v>
      </c>
      <c r="B57" s="12">
        <v>44210</v>
      </c>
      <c r="C57" s="13" t="str">
        <f>"Schweiz. Bundesbahnen SBB, Berna"</f>
        <v>Schweiz. Bundesbahnen SBB, Berna</v>
      </c>
      <c r="D57" s="13" t="str">
        <f>"acquisto carte giornaliere Croglio e Tresa"</f>
        <v>acquisto carte giornaliere Croglio e Tresa</v>
      </c>
      <c r="E57" s="14">
        <v>28000</v>
      </c>
      <c r="F57" s="20" t="s">
        <v>11</v>
      </c>
      <c r="G57" s="20" t="s">
        <v>12</v>
      </c>
      <c r="H57" s="11" t="s">
        <v>52</v>
      </c>
      <c r="I57" s="1"/>
    </row>
    <row r="58" spans="1:9" ht="12.75" x14ac:dyDescent="0.2">
      <c r="A58" s="11" t="s">
        <v>9</v>
      </c>
      <c r="B58" s="12">
        <v>44282</v>
      </c>
      <c r="C58" s="13" t="str">
        <f>"Scrinium Sagl, Mezzovico"</f>
        <v>Scrinium Sagl, Mezzovico</v>
      </c>
      <c r="D58" s="13" t="str">
        <f>"Riordino archivio comunale Croglio - fattura finale"</f>
        <v>Riordino archivio comunale Croglio - fattura finale</v>
      </c>
      <c r="E58" s="14">
        <v>5300</v>
      </c>
      <c r="F58" s="20" t="s">
        <v>11</v>
      </c>
      <c r="G58" s="20" t="s">
        <v>12</v>
      </c>
      <c r="H58" s="11" t="s">
        <v>52</v>
      </c>
      <c r="I58" s="1"/>
    </row>
    <row r="59" spans="1:9" ht="12.75" x14ac:dyDescent="0.2">
      <c r="A59" s="11" t="s">
        <v>9</v>
      </c>
      <c r="B59" s="12">
        <v>44406</v>
      </c>
      <c r="C59" s="13" t="str">
        <f>"SPQR costruzioni e conservazioni Sagl, Tresa Ponte Tresa"</f>
        <v>SPQR costruzioni e conservazioni Sagl, Tresa Ponte Tresa</v>
      </c>
      <c r="D59" s="13" t="str">
        <f>"opere da impresario costruttore  lavori presso SI Castelrotto ripristino danni acqua"</f>
        <v>opere da impresario costruttore  lavori presso SI Castelrotto ripristino danni acqua</v>
      </c>
      <c r="E59" s="14">
        <v>26662</v>
      </c>
      <c r="F59" s="20" t="s">
        <v>13</v>
      </c>
      <c r="G59" s="20" t="s">
        <v>12</v>
      </c>
      <c r="H59" s="11" t="s">
        <v>52</v>
      </c>
      <c r="I59" s="1"/>
    </row>
    <row r="60" spans="1:9" ht="12.75" x14ac:dyDescent="0.2">
      <c r="A60" s="11" t="s">
        <v>9</v>
      </c>
      <c r="B60" s="12">
        <v>44498</v>
      </c>
      <c r="C60" s="13" t="str">
        <f>"Studio d'architettura di Luigi Bulloni, Caslano"</f>
        <v>Studio d'architettura di Luigi Bulloni, Caslano</v>
      </c>
      <c r="D60" s="13" t="str">
        <f>"progettazione ampliamento zona cucina e nuovo accesso fornitori cucina SI Castelrotto"</f>
        <v>progettazione ampliamento zona cucina e nuovo accesso fornitori cucina SI Castelrotto</v>
      </c>
      <c r="E60" s="14">
        <v>13927.6</v>
      </c>
      <c r="F60" s="20" t="s">
        <v>13</v>
      </c>
      <c r="G60" s="20" t="s">
        <v>12</v>
      </c>
      <c r="H60" s="11" t="s">
        <v>52</v>
      </c>
      <c r="I60" s="1"/>
    </row>
    <row r="61" spans="1:9" ht="12.75" x14ac:dyDescent="0.2">
      <c r="A61" s="11" t="s">
        <v>9</v>
      </c>
      <c r="B61" s="12">
        <v>44207</v>
      </c>
      <c r="C61" s="13" t="str">
        <f>"Studio d'Ingegneria Bernardoni SA, Viganello"</f>
        <v>Studio d'Ingegneria Bernardoni SA, Viganello</v>
      </c>
      <c r="D61" s="13" t="str">
        <f>"dirzione lavori interventi acquedotto Croglio"</f>
        <v>dirzione lavori interventi acquedotto Croglio</v>
      </c>
      <c r="E61" s="14">
        <v>45000</v>
      </c>
      <c r="F61" s="20" t="s">
        <v>11</v>
      </c>
      <c r="G61" s="20" t="s">
        <v>12</v>
      </c>
      <c r="H61" s="11" t="s">
        <v>52</v>
      </c>
      <c r="I61" s="1"/>
    </row>
    <row r="62" spans="1:9" x14ac:dyDescent="0.25">
      <c r="A62" s="11" t="s">
        <v>9</v>
      </c>
      <c r="B62" s="12">
        <v>44207</v>
      </c>
      <c r="C62" s="13" t="str">
        <f>"Vismara &amp; CO SA, Davesco Soragno"</f>
        <v>Vismara &amp; CO SA, Davesco Soragno</v>
      </c>
      <c r="D62" s="13" t="s">
        <v>29</v>
      </c>
      <c r="E62" s="14">
        <v>12701.15</v>
      </c>
      <c r="F62" s="20" t="s">
        <v>11</v>
      </c>
      <c r="G62" s="21" t="s">
        <v>12</v>
      </c>
      <c r="H62" s="11" t="s">
        <v>52</v>
      </c>
    </row>
    <row r="63" spans="1:9" x14ac:dyDescent="0.25">
      <c r="A63" s="11" t="s">
        <v>9</v>
      </c>
      <c r="B63" s="12">
        <v>44270</v>
      </c>
      <c r="C63" s="13" t="str">
        <f>"Vismara &amp; CO SA, Davesco Soragno"</f>
        <v>Vismara &amp; CO SA, Davesco Soragno</v>
      </c>
      <c r="D63" s="13" t="s">
        <v>30</v>
      </c>
      <c r="E63" s="14">
        <v>9250.85</v>
      </c>
      <c r="F63" s="20" t="s">
        <v>11</v>
      </c>
      <c r="G63" s="21" t="s">
        <v>12</v>
      </c>
      <c r="H63" s="11" t="s">
        <v>54</v>
      </c>
    </row>
    <row r="64" spans="1:9" x14ac:dyDescent="0.25">
      <c r="A64" s="11" t="s">
        <v>9</v>
      </c>
      <c r="B64" s="12">
        <v>44277</v>
      </c>
      <c r="C64" s="13" t="str">
        <f>"VLP Vignoni Sicurezza SA, Rivera"</f>
        <v>VLP Vignoni Sicurezza SA, Rivera</v>
      </c>
      <c r="D64" s="13" t="str">
        <f>"Fornitura e posa nuovi cilindri Tresa  acconto"</f>
        <v>Fornitura e posa nuovi cilindri Tresa  acconto</v>
      </c>
      <c r="E64" s="14">
        <v>11549</v>
      </c>
      <c r="F64" s="20" t="s">
        <v>14</v>
      </c>
      <c r="G64" s="21" t="s">
        <v>16</v>
      </c>
      <c r="H64" s="21" t="s">
        <v>60</v>
      </c>
    </row>
    <row r="65" spans="1:8" x14ac:dyDescent="0.25">
      <c r="A65" s="11" t="s">
        <v>9</v>
      </c>
      <c r="B65" s="12">
        <v>44561</v>
      </c>
      <c r="C65" s="13" t="str">
        <f>"vonRoll hydro ag  z.G. vonRoll hydro (suisse) ag, Oensingen"</f>
        <v>vonRoll hydro ag  z.G. vonRoll hydro (suisse) ag, Oensingen</v>
      </c>
      <c r="D65" s="13" t="str">
        <f>"contratto manutenzione idrante Hydrolife  annuale Sessa/Monteggio/Ponte Tresa"</f>
        <v>contratto manutenzione idrante Hydrolife  annuale Sessa/Monteggio/Ponte Tresa</v>
      </c>
      <c r="E65" s="14">
        <v>9062.5</v>
      </c>
      <c r="F65" s="20" t="s">
        <v>11</v>
      </c>
      <c r="G65" s="21" t="s">
        <v>12</v>
      </c>
      <c r="H65" s="11" t="s">
        <v>52</v>
      </c>
    </row>
    <row r="66" spans="1:8" x14ac:dyDescent="0.25">
      <c r="A66" s="32"/>
      <c r="B66" s="33"/>
      <c r="C66" s="30"/>
      <c r="D66" s="34"/>
      <c r="F66" s="29"/>
    </row>
    <row r="67" spans="1:8" x14ac:dyDescent="0.25">
      <c r="A67" s="32"/>
      <c r="B67" s="33"/>
      <c r="C67" s="34"/>
      <c r="D67" s="34"/>
      <c r="F67" s="29"/>
    </row>
    <row r="68" spans="1:8" x14ac:dyDescent="0.25">
      <c r="C68" s="36"/>
    </row>
    <row r="69" spans="1:8" x14ac:dyDescent="0.25">
      <c r="A69" s="11" t="s">
        <v>32</v>
      </c>
      <c r="B69" s="12">
        <v>44208</v>
      </c>
      <c r="C69" s="13" t="str">
        <f>"Applicolor SA, Lugano Noranco"</f>
        <v>Applicolor SA, Lugano Noranco</v>
      </c>
      <c r="D69" s="13" t="str">
        <f>"Acconto segnaletica"</f>
        <v>Acconto segnaletica</v>
      </c>
      <c r="E69" s="14">
        <v>10353.65</v>
      </c>
      <c r="F69" s="20" t="s">
        <v>51</v>
      </c>
      <c r="G69" s="21" t="s">
        <v>12</v>
      </c>
      <c r="H69" s="11" t="s">
        <v>52</v>
      </c>
    </row>
    <row r="70" spans="1:8" x14ac:dyDescent="0.25">
      <c r="A70" s="11" t="s">
        <v>32</v>
      </c>
      <c r="B70" s="12">
        <v>44284</v>
      </c>
      <c r="C70" s="13" t="str">
        <f>"AR&amp;PA Engineering Sagl, Pregassona"</f>
        <v>AR&amp;PA Engineering Sagl, Pregassona</v>
      </c>
      <c r="D70" s="13" t="str">
        <f>"Moderazione traffico Monteggio"</f>
        <v>Moderazione traffico Monteggio</v>
      </c>
      <c r="E70" s="14">
        <v>16341.7</v>
      </c>
      <c r="F70" s="20" t="s">
        <v>51</v>
      </c>
      <c r="G70" s="21" t="s">
        <v>12</v>
      </c>
      <c r="H70" s="11" t="s">
        <v>52</v>
      </c>
    </row>
    <row r="71" spans="1:8" x14ac:dyDescent="0.25">
      <c r="A71" s="11" t="s">
        <v>32</v>
      </c>
      <c r="B71" s="12">
        <v>44390</v>
      </c>
      <c r="C71" s="13" t="str">
        <f>"Aziende Industriali di Lugano (AIL) SA, Lugano"</f>
        <v>Aziende Industriali di Lugano (AIL) SA, Lugano</v>
      </c>
      <c r="D71" s="13" t="str">
        <f>"Mod. illuminazione pubblica Via Persico"</f>
        <v>Mod. illuminazione pubblica Via Persico</v>
      </c>
      <c r="E71" s="14">
        <v>41435.300000000003</v>
      </c>
      <c r="F71" s="20" t="s">
        <v>51</v>
      </c>
      <c r="G71" s="21" t="s">
        <v>12</v>
      </c>
      <c r="H71" s="21" t="s">
        <v>55</v>
      </c>
    </row>
    <row r="72" spans="1:8" x14ac:dyDescent="0.25">
      <c r="A72" s="11" t="s">
        <v>32</v>
      </c>
      <c r="B72" s="12">
        <v>44460</v>
      </c>
      <c r="C72" s="13" t="str">
        <f t="shared" ref="C72:C73" si="2">"Aziende Industriali di Lugano (AIL) SA, Lugano"</f>
        <v>Aziende Industriali di Lugano (AIL) SA, Lugano</v>
      </c>
      <c r="D72" s="13" t="str">
        <f>"Posa illuminazione pubblica nuovo posteggio a Ramello"</f>
        <v>Posa illuminazione pubblica nuovo posteggio a Ramello</v>
      </c>
      <c r="E72" s="14">
        <v>9965.2000000000007</v>
      </c>
      <c r="F72" s="20" t="s">
        <v>51</v>
      </c>
      <c r="G72" s="21" t="s">
        <v>12</v>
      </c>
      <c r="H72" s="21" t="s">
        <v>55</v>
      </c>
    </row>
    <row r="73" spans="1:8" x14ac:dyDescent="0.25">
      <c r="A73" s="11" t="s">
        <v>32</v>
      </c>
      <c r="B73" s="12">
        <v>44258</v>
      </c>
      <c r="C73" s="13" t="str">
        <f t="shared" si="2"/>
        <v>Aziende Industriali di Lugano (AIL) SA, Lugano</v>
      </c>
      <c r="D73" s="13" t="str">
        <f>"Installazione stazione di ricarica Emotì"</f>
        <v>Installazione stazione di ricarica Emotì</v>
      </c>
      <c r="E73" s="14">
        <v>11150</v>
      </c>
      <c r="F73" s="20" t="s">
        <v>14</v>
      </c>
      <c r="G73" s="21" t="s">
        <v>12</v>
      </c>
      <c r="H73" s="21" t="s">
        <v>55</v>
      </c>
    </row>
    <row r="74" spans="1:8" x14ac:dyDescent="0.25">
      <c r="A74" s="11" t="s">
        <v>32</v>
      </c>
      <c r="B74" s="12">
        <v>44207</v>
      </c>
      <c r="C74" s="13" t="str">
        <f>"Ballinari Giorgio, Tresa Monteggio"</f>
        <v>Ballinari Giorgio, Tresa Monteggio</v>
      </c>
      <c r="D74" s="13" t="str">
        <f>"Trasporto allievi Monteggio anno 2021"</f>
        <v>Trasporto allievi Monteggio anno 2021</v>
      </c>
      <c r="E74" s="14">
        <v>38867.199999999997</v>
      </c>
      <c r="F74" s="20" t="s">
        <v>11</v>
      </c>
      <c r="G74" s="21" t="s">
        <v>12</v>
      </c>
      <c r="H74" s="11" t="s">
        <v>52</v>
      </c>
    </row>
    <row r="75" spans="1:8" x14ac:dyDescent="0.25">
      <c r="A75" s="11" t="s">
        <v>32</v>
      </c>
      <c r="B75" s="12">
        <v>44207</v>
      </c>
      <c r="C75" s="13" t="str">
        <f>"B&amp;B trasporti Sagl, Tresa Monteggio"</f>
        <v>B&amp;B trasporti Sagl, Tresa Monteggio</v>
      </c>
      <c r="D75" s="13" t="str">
        <f>"Trasporto allievi Monteggio anno 2021"</f>
        <v>Trasporto allievi Monteggio anno 2021</v>
      </c>
      <c r="E75" s="14">
        <v>49960.1</v>
      </c>
      <c r="F75" s="20" t="s">
        <v>11</v>
      </c>
      <c r="G75" s="21" t="s">
        <v>12</v>
      </c>
      <c r="H75" s="11" t="s">
        <v>52</v>
      </c>
    </row>
    <row r="76" spans="1:8" x14ac:dyDescent="0.25">
      <c r="A76" s="11" t="s">
        <v>32</v>
      </c>
      <c r="B76" s="12">
        <v>44470</v>
      </c>
      <c r="C76" s="13" t="str">
        <f>"Brugnoli e Gottardi Ingegneri, Massagno"</f>
        <v>Brugnoli e Gottardi Ingegneri, Massagno</v>
      </c>
      <c r="D76" s="13" t="str">
        <f>"Allestim. documentazione appalto rifacimento segnaletica Monteggio"</f>
        <v>Allestim. documentazione appalto rifacimento segnaletica Monteggio</v>
      </c>
      <c r="E76" s="14">
        <v>701.7</v>
      </c>
      <c r="F76" s="20" t="s">
        <v>11</v>
      </c>
      <c r="G76" s="21" t="s">
        <v>12</v>
      </c>
      <c r="H76" s="11" t="s">
        <v>52</v>
      </c>
    </row>
    <row r="77" spans="1:8" x14ac:dyDescent="0.25">
      <c r="A77" s="11" t="s">
        <v>32</v>
      </c>
      <c r="B77" s="12">
        <v>44489</v>
      </c>
      <c r="C77" s="13" t="str">
        <f>"Castellari Marco, Sessa"</f>
        <v>Castellari Marco, Sessa</v>
      </c>
      <c r="D77" s="13" t="str">
        <f>"Sfalcio bordi strade cantonali e comunali"</f>
        <v>Sfalcio bordi strade cantonali e comunali</v>
      </c>
      <c r="E77" s="14">
        <v>20000</v>
      </c>
      <c r="F77" s="20" t="s">
        <v>11</v>
      </c>
      <c r="G77" s="21" t="s">
        <v>12</v>
      </c>
      <c r="H77" s="11" t="s">
        <v>52</v>
      </c>
    </row>
    <row r="78" spans="1:8" x14ac:dyDescent="0.25">
      <c r="A78" s="11" t="s">
        <v>32</v>
      </c>
      <c r="B78" s="12">
        <v>44328</v>
      </c>
      <c r="C78" s="13" t="str">
        <f>"CB Incom, Bioggio"</f>
        <v>CB Incom, Bioggio</v>
      </c>
      <c r="D78" s="13" t="str">
        <f>"Illuminazione pubblica piazzetta Ramello"</f>
        <v>Illuminazione pubblica piazzetta Ramello</v>
      </c>
      <c r="E78" s="14">
        <v>6499.55</v>
      </c>
      <c r="F78" s="20" t="s">
        <v>51</v>
      </c>
      <c r="G78" s="21" t="s">
        <v>12</v>
      </c>
      <c r="H78" s="11" t="s">
        <v>52</v>
      </c>
    </row>
    <row r="79" spans="1:8" x14ac:dyDescent="0.25">
      <c r="A79" s="11" t="s">
        <v>32</v>
      </c>
      <c r="B79" s="12">
        <v>44207</v>
      </c>
      <c r="C79" s="13" t="str">
        <f>"Centro di Calcolo Elettronico, Gordola"</f>
        <v>Centro di Calcolo Elettronico, Gordola</v>
      </c>
      <c r="D79" s="13" t="s">
        <v>19</v>
      </c>
      <c r="E79" s="14">
        <v>21157.3</v>
      </c>
      <c r="F79" s="20" t="s">
        <v>11</v>
      </c>
      <c r="G79" s="21" t="s">
        <v>12</v>
      </c>
      <c r="H79" s="11" t="s">
        <v>52</v>
      </c>
    </row>
    <row r="80" spans="1:8" x14ac:dyDescent="0.25">
      <c r="A80" s="11" t="s">
        <v>32</v>
      </c>
      <c r="B80" s="12">
        <v>44207</v>
      </c>
      <c r="C80" s="13" t="str">
        <f>"CHC Business Solutions, Lugano"</f>
        <v>CHC Business Solutions, Lugano</v>
      </c>
      <c r="D80" s="13" t="str">
        <f>"Servizio noleggio e assistenza apparecchi multifunzionali amministrazione comunali"</f>
        <v>Servizio noleggio e assistenza apparecchi multifunzionali amministrazione comunali</v>
      </c>
      <c r="E80" s="14">
        <v>5389.6</v>
      </c>
      <c r="F80" s="20" t="s">
        <v>11</v>
      </c>
      <c r="G80" s="21" t="s">
        <v>12</v>
      </c>
      <c r="H80" s="11" t="s">
        <v>52</v>
      </c>
    </row>
    <row r="81" spans="1:8" x14ac:dyDescent="0.25">
      <c r="A81" s="11" t="s">
        <v>32</v>
      </c>
      <c r="B81" s="12">
        <v>44347</v>
      </c>
      <c r="C81" s="13" t="str">
        <f>"Demasi &amp; Rossinelli Sagl, Tresa Sessa"</f>
        <v>Demasi &amp; Rossinelli Sagl, Tresa Sessa</v>
      </c>
      <c r="D81" s="13" t="str">
        <f>"Posa sepolcreti cimitero"</f>
        <v>Posa sepolcreti cimitero</v>
      </c>
      <c r="E81" s="14">
        <v>18017.349999999999</v>
      </c>
      <c r="F81" s="20" t="s">
        <v>51</v>
      </c>
      <c r="G81" s="21" t="s">
        <v>12</v>
      </c>
      <c r="H81" s="11" t="s">
        <v>52</v>
      </c>
    </row>
    <row r="82" spans="1:8" x14ac:dyDescent="0.25">
      <c r="A82" s="11" t="s">
        <v>32</v>
      </c>
      <c r="B82" s="12">
        <v>44529</v>
      </c>
      <c r="C82" s="13" t="str">
        <f>"Dionea SA, Lugano"</f>
        <v>Dionea SA, Lugano</v>
      </c>
      <c r="D82" s="13" t="str">
        <f>"Consulenza ambientale e paesaggistica progetto pista ciclabile"</f>
        <v>Consulenza ambientale e paesaggistica progetto pista ciclabile</v>
      </c>
      <c r="E82" s="14">
        <v>14689</v>
      </c>
      <c r="F82" s="20" t="s">
        <v>11</v>
      </c>
      <c r="G82" s="21" t="s">
        <v>12</v>
      </c>
      <c r="H82" s="11" t="s">
        <v>52</v>
      </c>
    </row>
    <row r="83" spans="1:8" x14ac:dyDescent="0.25">
      <c r="A83" s="11" t="s">
        <v>32</v>
      </c>
      <c r="B83" s="12">
        <v>44207</v>
      </c>
      <c r="C83" s="13" t="str">
        <f>"ECSA Chemicals AG, Balerna"</f>
        <v>ECSA Chemicals AG, Balerna</v>
      </c>
      <c r="D83" s="13" t="str">
        <f>"Soda caustica"</f>
        <v>Soda caustica</v>
      </c>
      <c r="E83" s="14">
        <v>11314.2</v>
      </c>
      <c r="F83" s="20" t="s">
        <v>14</v>
      </c>
      <c r="G83" s="21" t="s">
        <v>12</v>
      </c>
      <c r="H83" s="11" t="s">
        <v>52</v>
      </c>
    </row>
    <row r="84" spans="1:8" x14ac:dyDescent="0.25">
      <c r="A84" s="11" t="s">
        <v>32</v>
      </c>
      <c r="B84" s="12">
        <v>44440</v>
      </c>
      <c r="C84" s="13" t="str">
        <f>"Emilio Luvini SAGL  Ingegneria Civile, Agno"</f>
        <v>Emilio Luvini SAGL  Ingegneria Civile, Agno</v>
      </c>
      <c r="D84" s="13" t="str">
        <f>"Progetto pista ciclabile Fornasette-Ponte Tresa"</f>
        <v>Progetto pista ciclabile Fornasette-Ponte Tresa</v>
      </c>
      <c r="E84" s="14">
        <v>39164.35</v>
      </c>
      <c r="F84" s="20" t="s">
        <v>11</v>
      </c>
      <c r="G84" s="21" t="s">
        <v>12</v>
      </c>
      <c r="H84" s="11" t="s">
        <v>52</v>
      </c>
    </row>
    <row r="85" spans="1:8" x14ac:dyDescent="0.25">
      <c r="A85" s="11" t="s">
        <v>32</v>
      </c>
      <c r="B85" s="12">
        <v>44314</v>
      </c>
      <c r="C85" s="13" t="str">
        <f>"F.lli Zanetti SA, Tresa Croglio"</f>
        <v>F.lli Zanetti SA, Tresa Croglio</v>
      </c>
      <c r="D85" s="13" t="str">
        <f>"Prestazioni forestali per riqualifica zona  cascate Pevereggia e Mulino Trezzini"</f>
        <v>Prestazioni forestali per riqualifica zona  cascate Pevereggia e Mulino Trezzini</v>
      </c>
      <c r="E85" s="14">
        <v>9870</v>
      </c>
      <c r="F85" s="20" t="s">
        <v>13</v>
      </c>
      <c r="G85" s="21" t="s">
        <v>12</v>
      </c>
      <c r="H85" s="11" t="s">
        <v>52</v>
      </c>
    </row>
    <row r="86" spans="1:8" x14ac:dyDescent="0.25">
      <c r="A86" s="11" t="s">
        <v>32</v>
      </c>
      <c r="B86" s="12">
        <v>44532</v>
      </c>
      <c r="C86" s="13" t="str">
        <f>"Francesco Allievi SA, Ascona"</f>
        <v>Francesco Allievi SA, Ascona</v>
      </c>
      <c r="D86" s="13" t="str">
        <f>"Pista cilopedonale Ponte Tresa - Fornasette progetto di massima"</f>
        <v>Pista cilopedonale Ponte Tresa - Fornasette progetto di massima</v>
      </c>
      <c r="E86" s="14">
        <v>6500</v>
      </c>
      <c r="F86" s="20" t="s">
        <v>11</v>
      </c>
      <c r="G86" s="21" t="s">
        <v>12</v>
      </c>
      <c r="H86" s="11" t="s">
        <v>52</v>
      </c>
    </row>
    <row r="87" spans="1:8" x14ac:dyDescent="0.25">
      <c r="A87" s="11" t="s">
        <v>32</v>
      </c>
      <c r="B87" s="12">
        <v>44207</v>
      </c>
      <c r="C87" s="13" t="str">
        <f>"Fratelli Maffi SA, Davesco Soragno"</f>
        <v>Fratelli Maffi SA, Davesco Soragno</v>
      </c>
      <c r="D87" s="13" t="s">
        <v>33</v>
      </c>
      <c r="E87" s="14">
        <v>43649.5</v>
      </c>
      <c r="F87" s="20" t="s">
        <v>11</v>
      </c>
      <c r="G87" s="21" t="s">
        <v>12</v>
      </c>
      <c r="H87" s="11" t="s">
        <v>52</v>
      </c>
    </row>
    <row r="88" spans="1:8" x14ac:dyDescent="0.25">
      <c r="A88" s="11" t="s">
        <v>32</v>
      </c>
      <c r="B88" s="12">
        <v>44347</v>
      </c>
      <c r="C88" s="13" t="str">
        <f>"Galli e Gisondi GEG SA, Riva San Vitale"</f>
        <v>Galli e Gisondi GEG SA, Riva San Vitale</v>
      </c>
      <c r="D88" s="13" t="str">
        <f>"Fornitura sepolcreti cimitero  Sessa - Monteggio"</f>
        <v>Fornitura sepolcreti cimitero  Sessa - Monteggio</v>
      </c>
      <c r="E88" s="14">
        <v>25500</v>
      </c>
      <c r="F88" s="20" t="s">
        <v>51</v>
      </c>
      <c r="G88" s="21" t="s">
        <v>12</v>
      </c>
      <c r="H88" s="11" t="s">
        <v>52</v>
      </c>
    </row>
    <row r="89" spans="1:8" x14ac:dyDescent="0.25">
      <c r="A89" s="11" t="s">
        <v>32</v>
      </c>
      <c r="B89" s="12">
        <v>44207</v>
      </c>
      <c r="C89" s="13" t="str">
        <f>"Geosar SA, Agno"</f>
        <v>Geosar SA, Agno</v>
      </c>
      <c r="D89" s="13" t="str">
        <f>"licenza annuale e manutenzione software soft gis"</f>
        <v>licenza annuale e manutenzione software soft gis</v>
      </c>
      <c r="E89" s="14">
        <v>6026</v>
      </c>
      <c r="F89" s="20" t="s">
        <v>11</v>
      </c>
      <c r="G89" s="21" t="s">
        <v>12</v>
      </c>
      <c r="H89" s="11" t="s">
        <v>52</v>
      </c>
    </row>
    <row r="90" spans="1:8" x14ac:dyDescent="0.25">
      <c r="A90" s="11" t="s">
        <v>32</v>
      </c>
      <c r="B90" s="12">
        <v>44347</v>
      </c>
      <c r="C90" s="13" t="str">
        <f>"Germano Farina Sagl, Tresa Monteggio"</f>
        <v>Germano Farina Sagl, Tresa Monteggio</v>
      </c>
      <c r="D90" s="13" t="str">
        <f>"opere diverse nuovo parco giochi Ramello"</f>
        <v>opere diverse nuovo parco giochi Ramello</v>
      </c>
      <c r="E90" s="14">
        <v>15549</v>
      </c>
      <c r="F90" s="20" t="s">
        <v>13</v>
      </c>
      <c r="G90" s="21" t="s">
        <v>12</v>
      </c>
      <c r="H90" s="11" t="s">
        <v>52</v>
      </c>
    </row>
    <row r="91" spans="1:8" x14ac:dyDescent="0.25">
      <c r="A91" s="11" t="s">
        <v>32</v>
      </c>
      <c r="B91" s="12">
        <v>44328</v>
      </c>
      <c r="C91" s="13" t="str">
        <f t="shared" ref="C91:C92" si="3">"Germano Farina Sagl, Tresa Monteggio"</f>
        <v>Germano Farina Sagl, Tresa Monteggio</v>
      </c>
      <c r="D91" s="13" t="str">
        <f>"Costruzione nuovo parco giochi Ramello"</f>
        <v>Costruzione nuovo parco giochi Ramello</v>
      </c>
      <c r="E91" s="14">
        <v>37140.199999999997</v>
      </c>
      <c r="F91" s="20" t="s">
        <v>13</v>
      </c>
      <c r="G91" s="21" t="s">
        <v>12</v>
      </c>
      <c r="H91" s="11" t="s">
        <v>52</v>
      </c>
    </row>
    <row r="92" spans="1:8" x14ac:dyDescent="0.25">
      <c r="A92" s="11" t="s">
        <v>32</v>
      </c>
      <c r="B92" s="12">
        <v>44526</v>
      </c>
      <c r="C92" s="13" t="str">
        <f t="shared" si="3"/>
        <v>Germano Farina Sagl, Tresa Monteggio</v>
      </c>
      <c r="D92" s="13" t="str">
        <f>"Manutenzione sentiero acqua ripensata"</f>
        <v>Manutenzione sentiero acqua ripensata</v>
      </c>
      <c r="E92" s="14">
        <v>5366.75</v>
      </c>
      <c r="F92" s="20" t="s">
        <v>51</v>
      </c>
      <c r="G92" s="21" t="s">
        <v>12</v>
      </c>
      <c r="H92" s="11" t="s">
        <v>52</v>
      </c>
    </row>
    <row r="93" spans="1:8" x14ac:dyDescent="0.25">
      <c r="A93" s="11" t="s">
        <v>32</v>
      </c>
      <c r="B93" s="12">
        <v>44377</v>
      </c>
      <c r="C93" s="13" t="str">
        <f>"Häny AG, Jona"</f>
        <v>Häny AG, Jona</v>
      </c>
      <c r="D93" s="13" t="str">
        <f>"Sostiuzione pompa di rilancio, pozzo di captazione  Ponte Cremenaga"</f>
        <v>Sostiuzione pompa di rilancio, pozzo di captazione  Ponte Cremenaga</v>
      </c>
      <c r="E93" s="14">
        <v>20000</v>
      </c>
      <c r="F93" s="20" t="s">
        <v>51</v>
      </c>
      <c r="G93" s="21" t="s">
        <v>12</v>
      </c>
      <c r="H93" s="11" t="s">
        <v>52</v>
      </c>
    </row>
    <row r="94" spans="1:8" x14ac:dyDescent="0.25">
      <c r="A94" s="11" t="s">
        <v>32</v>
      </c>
      <c r="B94" s="12">
        <v>44391</v>
      </c>
      <c r="C94" s="13" t="str">
        <f>"Häny AG, Jona"</f>
        <v>Häny AG, Jona</v>
      </c>
      <c r="D94" s="13" t="str">
        <f>"SP acque luride, riiparazione pompa guasta  serbatoio"</f>
        <v>SP acque luride, riiparazione pompa guasta  serbatoio</v>
      </c>
      <c r="E94" s="14">
        <v>9285</v>
      </c>
      <c r="F94" s="20" t="s">
        <v>51</v>
      </c>
      <c r="G94" s="21" t="s">
        <v>12</v>
      </c>
      <c r="H94" s="11" t="s">
        <v>52</v>
      </c>
    </row>
    <row r="95" spans="1:8" x14ac:dyDescent="0.25">
      <c r="A95" s="11" t="s">
        <v>32</v>
      </c>
      <c r="B95" s="12">
        <v>44265</v>
      </c>
      <c r="C95" s="13" t="str">
        <f>"Interfida Revisioni e consulenze SA, Chiasso"</f>
        <v>Interfida Revisioni e consulenze SA, Chiasso</v>
      </c>
      <c r="D95" s="13" t="str">
        <f>"Revisione consuntivo 2020"</f>
        <v>Revisione consuntivo 2020</v>
      </c>
      <c r="E95" s="14">
        <v>6000</v>
      </c>
      <c r="F95" s="20" t="s">
        <v>11</v>
      </c>
      <c r="G95" s="21" t="s">
        <v>12</v>
      </c>
      <c r="H95" s="11" t="s">
        <v>52</v>
      </c>
    </row>
    <row r="96" spans="1:8" x14ac:dyDescent="0.25">
      <c r="A96" s="11" t="s">
        <v>32</v>
      </c>
      <c r="B96" s="12">
        <v>44265</v>
      </c>
      <c r="C96" s="13" t="str">
        <f>"ISS Kanal Services AG, Manno"</f>
        <v>ISS Kanal Services AG, Manno</v>
      </c>
      <c r="D96" s="13" t="str">
        <f>"Pulizia e aspirazione caditoie stradali"</f>
        <v>Pulizia e aspirazione caditoie stradali</v>
      </c>
      <c r="E96" s="14">
        <v>6359.5</v>
      </c>
      <c r="F96" s="20" t="s">
        <v>11</v>
      </c>
      <c r="G96" s="21" t="s">
        <v>12</v>
      </c>
      <c r="H96" s="11" t="s">
        <v>52</v>
      </c>
    </row>
    <row r="97" spans="1:8" x14ac:dyDescent="0.25">
      <c r="A97" s="11" t="s">
        <v>32</v>
      </c>
      <c r="B97" s="12">
        <v>44207</v>
      </c>
      <c r="C97" s="13" t="str">
        <f>"Manfrini SA, Tresa Croglio"</f>
        <v>Manfrini SA, Tresa Croglio</v>
      </c>
      <c r="D97" s="13" t="str">
        <f>"prestazioni interventi e manutenzione acquedotto 2021"</f>
        <v>prestazioni interventi e manutenzione acquedotto 2021</v>
      </c>
      <c r="E97" s="14">
        <v>47656.45</v>
      </c>
      <c r="F97" s="20" t="s">
        <v>11</v>
      </c>
      <c r="G97" s="21" t="s">
        <v>12</v>
      </c>
      <c r="H97" s="11" t="s">
        <v>52</v>
      </c>
    </row>
    <row r="98" spans="1:8" x14ac:dyDescent="0.25">
      <c r="A98" s="11" t="s">
        <v>32</v>
      </c>
      <c r="B98" s="12">
        <v>44207</v>
      </c>
      <c r="C98" s="13" t="str">
        <f>"MTF Business Solutions SA, Manno"</f>
        <v>MTF Business Solutions SA, Manno</v>
      </c>
      <c r="D98" s="13" t="s">
        <v>27</v>
      </c>
      <c r="E98" s="14">
        <v>21028.799999999999</v>
      </c>
      <c r="F98" s="20" t="s">
        <v>11</v>
      </c>
      <c r="G98" s="21" t="s">
        <v>12</v>
      </c>
      <c r="H98" s="11" t="s">
        <v>52</v>
      </c>
    </row>
    <row r="99" spans="1:8" x14ac:dyDescent="0.25">
      <c r="A99" s="11" t="s">
        <v>32</v>
      </c>
      <c r="B99" s="12">
        <v>44237</v>
      </c>
      <c r="C99" s="13" t="str">
        <f>"Passera &amp; Associati Studio d'ingegneria SA, Lugano Pazzallo"</f>
        <v>Passera &amp; Associati Studio d'ingegneria SA, Lugano Pazzallo</v>
      </c>
      <c r="D99" s="13" t="str">
        <f>"Sistemazione piazzetta e Nucleo Ramello"</f>
        <v>Sistemazione piazzetta e Nucleo Ramello</v>
      </c>
      <c r="E99" s="14">
        <v>33952.800000000003</v>
      </c>
      <c r="F99" s="20" t="s">
        <v>11</v>
      </c>
      <c r="G99" s="21" t="s">
        <v>12</v>
      </c>
      <c r="H99" s="11" t="s">
        <v>52</v>
      </c>
    </row>
    <row r="100" spans="1:8" x14ac:dyDescent="0.25">
      <c r="A100" s="11" t="s">
        <v>32</v>
      </c>
      <c r="B100" s="12">
        <v>44237</v>
      </c>
      <c r="C100" s="13" t="str">
        <f t="shared" ref="C100:C101" si="4">"Passera &amp; Associati Studio d'ingegneria SA, Lugano Pazzallo"</f>
        <v>Passera &amp; Associati Studio d'ingegneria SA, Lugano Pazzallo</v>
      </c>
      <c r="D100" s="13" t="s">
        <v>34</v>
      </c>
      <c r="E100" s="14">
        <v>22100</v>
      </c>
      <c r="F100" s="20" t="s">
        <v>11</v>
      </c>
      <c r="G100" s="21" t="s">
        <v>12</v>
      </c>
      <c r="H100" s="11" t="s">
        <v>52</v>
      </c>
    </row>
    <row r="101" spans="1:8" x14ac:dyDescent="0.25">
      <c r="A101" s="11" t="s">
        <v>32</v>
      </c>
      <c r="B101" s="12">
        <v>44232</v>
      </c>
      <c r="C101" s="13" t="str">
        <f t="shared" si="4"/>
        <v>Passera &amp; Associati Studio d'ingegneria SA, Lugano Pazzallo</v>
      </c>
      <c r="D101" s="13" t="str">
        <f>"Rifacimento ponte riale Pevereggia Monteggio-Sessa  Fatt. no. FA000122"</f>
        <v>Rifacimento ponte riale Pevereggia Monteggio-Sessa  Fatt. no. FA000122</v>
      </c>
      <c r="E101" s="14">
        <v>15000</v>
      </c>
      <c r="F101" s="20" t="s">
        <v>11</v>
      </c>
      <c r="G101" s="21" t="s">
        <v>12</v>
      </c>
      <c r="H101" s="11" t="s">
        <v>52</v>
      </c>
    </row>
    <row r="102" spans="1:8" x14ac:dyDescent="0.25">
      <c r="A102" s="11" t="s">
        <v>32</v>
      </c>
      <c r="B102" s="12">
        <v>44547</v>
      </c>
      <c r="C102" s="13" t="str">
        <f>"Pedrazzini Tipografia SA, Locarno"</f>
        <v>Pedrazzini Tipografia SA, Locarno</v>
      </c>
      <c r="D102" s="13" t="str">
        <f>"Calendario ecologico 2022"</f>
        <v>Calendario ecologico 2022</v>
      </c>
      <c r="E102" s="14">
        <v>6780</v>
      </c>
      <c r="F102" s="20" t="s">
        <v>14</v>
      </c>
      <c r="G102" s="21" t="s">
        <v>12</v>
      </c>
      <c r="H102" s="11" t="s">
        <v>52</v>
      </c>
    </row>
    <row r="103" spans="1:8" x14ac:dyDescent="0.25">
      <c r="A103" s="11" t="s">
        <v>32</v>
      </c>
      <c r="B103" s="12">
        <v>44207</v>
      </c>
      <c r="C103" s="13" t="str">
        <f>"Ranzoni  Carlo, Tresa Croglio"</f>
        <v>Ranzoni  Carlo, Tresa Croglio</v>
      </c>
      <c r="D103" s="13" t="s">
        <v>35</v>
      </c>
      <c r="E103" s="14">
        <v>10645.7</v>
      </c>
      <c r="F103" s="20" t="s">
        <v>11</v>
      </c>
      <c r="G103" s="21" t="s">
        <v>12</v>
      </c>
      <c r="H103" s="11" t="s">
        <v>52</v>
      </c>
    </row>
    <row r="104" spans="1:8" x14ac:dyDescent="0.25">
      <c r="A104" s="11" t="s">
        <v>32</v>
      </c>
      <c r="B104" s="12">
        <v>44207</v>
      </c>
      <c r="C104" s="13" t="str">
        <f>"Roadart Ticino Sagl, Giubiasco"</f>
        <v>Roadart Ticino Sagl, Giubiasco</v>
      </c>
      <c r="D104" s="13" t="s">
        <v>36</v>
      </c>
      <c r="E104" s="14">
        <v>46405</v>
      </c>
      <c r="F104" s="20" t="s">
        <v>51</v>
      </c>
      <c r="G104" s="21" t="s">
        <v>16</v>
      </c>
      <c r="H104" s="21" t="s">
        <v>60</v>
      </c>
    </row>
    <row r="105" spans="1:8" x14ac:dyDescent="0.25">
      <c r="A105" s="11" t="s">
        <v>32</v>
      </c>
      <c r="B105" s="12">
        <v>44284</v>
      </c>
      <c r="C105" s="13" t="str">
        <f>"Rossi  Fabrizio, Bissone"</f>
        <v>Rossi  Fabrizio, Bissone</v>
      </c>
      <c r="D105" s="13" t="str">
        <f>"Controllo combustione 19°ciclo  dal 01.09.2019 al 26.04.2021"</f>
        <v>Controllo combustione 19°ciclo  dal 01.09.2019 al 26.04.2021</v>
      </c>
      <c r="E105" s="14">
        <v>17227.25</v>
      </c>
      <c r="F105" s="20" t="s">
        <v>11</v>
      </c>
      <c r="G105" s="21" t="s">
        <v>16</v>
      </c>
      <c r="H105" s="21" t="s">
        <v>60</v>
      </c>
    </row>
    <row r="106" spans="1:8" x14ac:dyDescent="0.25">
      <c r="A106" s="11" t="s">
        <v>32</v>
      </c>
      <c r="B106" s="12">
        <v>44412</v>
      </c>
      <c r="C106" s="13" t="str">
        <f>"Schweiz. Bundesbahnen SBB, Berna"</f>
        <v>Schweiz. Bundesbahnen SBB, Berna</v>
      </c>
      <c r="D106" s="13" t="s">
        <v>37</v>
      </c>
      <c r="E106" s="14">
        <v>14000</v>
      </c>
      <c r="F106" s="20" t="s">
        <v>14</v>
      </c>
      <c r="G106" s="21" t="s">
        <v>12</v>
      </c>
      <c r="H106" s="21" t="s">
        <v>10</v>
      </c>
    </row>
    <row r="107" spans="1:8" x14ac:dyDescent="0.25">
      <c r="A107" s="11" t="s">
        <v>32</v>
      </c>
      <c r="B107" s="12">
        <v>44382</v>
      </c>
      <c r="C107" s="13" t="str">
        <f>"Silicon Swiss Sagl, Agno"</f>
        <v>Silicon Swiss Sagl, Agno</v>
      </c>
      <c r="D107" s="13" t="str">
        <f>"fornitura sacchi ufficiali raccolta rifiutii"</f>
        <v>fornitura sacchi ufficiali raccolta rifiutii</v>
      </c>
      <c r="E107" s="14">
        <v>14123.7</v>
      </c>
      <c r="F107" s="20" t="s">
        <v>14</v>
      </c>
      <c r="G107" s="21" t="s">
        <v>16</v>
      </c>
      <c r="H107" s="21" t="s">
        <v>60</v>
      </c>
    </row>
    <row r="108" spans="1:8" x14ac:dyDescent="0.25">
      <c r="A108" s="11" t="s">
        <v>32</v>
      </c>
      <c r="B108" s="12">
        <v>44533</v>
      </c>
      <c r="C108" s="13" t="str">
        <f>"Spalu SA, Lugano"</f>
        <v>Spalu SA, Lugano</v>
      </c>
      <c r="D108" s="13" t="str">
        <f>"Risanamento fonico strada cantonale Fornasette"</f>
        <v>Risanamento fonico strada cantonale Fornasette</v>
      </c>
      <c r="E108" s="14">
        <v>44935</v>
      </c>
      <c r="F108" s="20" t="s">
        <v>13</v>
      </c>
      <c r="G108" s="21" t="s">
        <v>12</v>
      </c>
      <c r="H108" s="11" t="s">
        <v>52</v>
      </c>
    </row>
    <row r="109" spans="1:8" x14ac:dyDescent="0.25">
      <c r="A109" s="11" t="s">
        <v>32</v>
      </c>
      <c r="B109" s="12">
        <v>44232</v>
      </c>
      <c r="C109" s="13" t="str">
        <f>"Spinelli SA, Lugano"</f>
        <v>Spinelli SA, Lugano</v>
      </c>
      <c r="D109" s="13" t="str">
        <f>"Acquedotto Monteggio, manutenzione annuale"</f>
        <v>Acquedotto Monteggio, manutenzione annuale</v>
      </c>
      <c r="E109" s="14">
        <v>7150</v>
      </c>
      <c r="F109" s="20" t="s">
        <v>11</v>
      </c>
      <c r="G109" s="21" t="s">
        <v>12</v>
      </c>
      <c r="H109" s="11" t="s">
        <v>52</v>
      </c>
    </row>
    <row r="110" spans="1:8" x14ac:dyDescent="0.25">
      <c r="A110" s="11" t="s">
        <v>32</v>
      </c>
      <c r="B110" s="12">
        <v>44237</v>
      </c>
      <c r="C110" s="13" t="str">
        <f>"Studio d'Ingegneria Bernardoni SA, Viganello"</f>
        <v>Studio d'Ingegneria Bernardoni SA, Viganello</v>
      </c>
      <c r="D110" s="13" t="str">
        <f>"PGA - Pianificazione interventi e direzione lavori"</f>
        <v>PGA - Pianificazione interventi e direzione lavori</v>
      </c>
      <c r="E110" s="14">
        <v>25081.1</v>
      </c>
      <c r="F110" s="20" t="s">
        <v>11</v>
      </c>
      <c r="G110" s="21" t="s">
        <v>12</v>
      </c>
      <c r="H110" s="11" t="s">
        <v>52</v>
      </c>
    </row>
    <row r="111" spans="1:8" x14ac:dyDescent="0.25">
      <c r="A111" s="11" t="s">
        <v>32</v>
      </c>
      <c r="B111" s="12">
        <v>44266</v>
      </c>
      <c r="C111" s="13" t="str">
        <f>"Villiger Entsorgungssysteme AG, Oberrüti"</f>
        <v>Villiger Entsorgungssysteme AG, Oberrüti</v>
      </c>
      <c r="D111" s="13" t="str">
        <f>"Sistemazione posteggio Lisora"</f>
        <v>Sistemazione posteggio Lisora</v>
      </c>
      <c r="E111" s="14">
        <v>35452.75</v>
      </c>
      <c r="F111" s="20" t="s">
        <v>13</v>
      </c>
      <c r="G111" s="21" t="s">
        <v>16</v>
      </c>
      <c r="H111" s="21" t="s">
        <v>60</v>
      </c>
    </row>
    <row r="112" spans="1:8" x14ac:dyDescent="0.25">
      <c r="D112" s="29"/>
      <c r="F112" s="29"/>
    </row>
    <row r="113" spans="1:8" x14ac:dyDescent="0.25">
      <c r="A113" s="11" t="s">
        <v>38</v>
      </c>
      <c r="B113" s="12">
        <v>44328</v>
      </c>
      <c r="C113" s="13" t="str">
        <f>"AFRY Svizzera SA, Rivera"</f>
        <v>AFRY Svizzera SA, Rivera</v>
      </c>
      <c r="D113" s="13" t="str">
        <f>"progetto Eureka - studio preliminare"</f>
        <v>progetto Eureka - studio preliminare</v>
      </c>
      <c r="E113" s="14">
        <v>17334.3</v>
      </c>
      <c r="F113" s="20" t="s">
        <v>11</v>
      </c>
      <c r="G113" s="21" t="s">
        <v>12</v>
      </c>
      <c r="H113" s="21" t="s">
        <v>53</v>
      </c>
    </row>
    <row r="114" spans="1:8" x14ac:dyDescent="0.25">
      <c r="A114" s="11" t="s">
        <v>38</v>
      </c>
      <c r="B114" s="12">
        <v>44559</v>
      </c>
      <c r="C114" s="13" t="str">
        <f>"Aziende Industriali di Lugano (AIL) SA, Lugano"</f>
        <v>Aziende Industriali di Lugano (AIL) SA, Lugano</v>
      </c>
      <c r="D114" s="13" t="s">
        <v>49</v>
      </c>
      <c r="E114" s="14">
        <v>11064.85</v>
      </c>
      <c r="F114" s="20" t="s">
        <v>51</v>
      </c>
      <c r="G114" s="21" t="s">
        <v>12</v>
      </c>
      <c r="H114" s="21" t="s">
        <v>55</v>
      </c>
    </row>
    <row r="115" spans="1:8" x14ac:dyDescent="0.25">
      <c r="A115" s="11" t="s">
        <v>38</v>
      </c>
      <c r="B115" s="12">
        <v>44227</v>
      </c>
      <c r="C115" s="13" t="str">
        <f>"Atelier Ribo SA, Cadenazzo"</f>
        <v>Atelier Ribo SA, Cadenazzo</v>
      </c>
      <c r="D115" s="13" t="s">
        <v>39</v>
      </c>
      <c r="E115" s="14">
        <v>22384.9</v>
      </c>
      <c r="F115" s="20" t="s">
        <v>11</v>
      </c>
      <c r="G115" s="21" t="s">
        <v>12</v>
      </c>
      <c r="H115" s="11" t="s">
        <v>52</v>
      </c>
    </row>
    <row r="116" spans="1:8" x14ac:dyDescent="0.25">
      <c r="A116" s="11" t="s">
        <v>38</v>
      </c>
      <c r="B116" s="12">
        <v>44207</v>
      </c>
      <c r="C116" s="13" t="str">
        <f>"Carlo Ranzoni, Tresa Croglio"</f>
        <v>Carlo Ranzoni, Tresa Croglio</v>
      </c>
      <c r="D116" s="13" t="s">
        <v>35</v>
      </c>
      <c r="E116" s="14">
        <v>24018</v>
      </c>
      <c r="F116" s="20" t="s">
        <v>11</v>
      </c>
      <c r="G116" s="21" t="s">
        <v>12</v>
      </c>
      <c r="H116" s="11" t="s">
        <v>52</v>
      </c>
    </row>
    <row r="117" spans="1:8" x14ac:dyDescent="0.25">
      <c r="A117" s="11" t="s">
        <v>38</v>
      </c>
      <c r="B117" s="12">
        <v>44207</v>
      </c>
      <c r="C117" s="13" t="str">
        <f>"Centro di Calcolo Elettronico, Gordola"</f>
        <v>Centro di Calcolo Elettronico, Gordola</v>
      </c>
      <c r="D117" s="13" t="s">
        <v>19</v>
      </c>
      <c r="E117" s="14">
        <v>9281.25</v>
      </c>
      <c r="F117" s="20" t="s">
        <v>11</v>
      </c>
      <c r="G117" s="21" t="s">
        <v>12</v>
      </c>
      <c r="H117" s="11" t="s">
        <v>52</v>
      </c>
    </row>
    <row r="118" spans="1:8" x14ac:dyDescent="0.25">
      <c r="A118" s="11" t="s">
        <v>38</v>
      </c>
      <c r="B118" s="12">
        <v>44204</v>
      </c>
      <c r="C118" s="13" t="str">
        <f>"Digitalparking AG, Schlieren"</f>
        <v>Digitalparking AG, Schlieren</v>
      </c>
      <c r="D118" s="13" t="str">
        <f>"fornitura e contratto di assistenza parchimetri"</f>
        <v>fornitura e contratto di assistenza parchimetri</v>
      </c>
      <c r="E118" s="14">
        <v>13238.55</v>
      </c>
      <c r="F118" s="20" t="s">
        <v>14</v>
      </c>
      <c r="G118" s="21" t="s">
        <v>12</v>
      </c>
      <c r="H118" s="11" t="s">
        <v>52</v>
      </c>
    </row>
    <row r="119" spans="1:8" x14ac:dyDescent="0.25">
      <c r="A119" s="11" t="s">
        <v>38</v>
      </c>
      <c r="B119" s="12">
        <v>44197</v>
      </c>
      <c r="C119" s="13" t="str">
        <f>"Elettroconsulenza Solcà SA, Lugano"</f>
        <v>Elettroconsulenza Solcà SA, Lugano</v>
      </c>
      <c r="D119" s="13" t="str">
        <f>"Progettazione, consulenze elettriche  comparto scuole"</f>
        <v>Progettazione, consulenze elettriche  comparto scuole</v>
      </c>
      <c r="E119" s="14">
        <v>7529.55</v>
      </c>
      <c r="F119" s="20" t="s">
        <v>11</v>
      </c>
      <c r="G119" s="21" t="s">
        <v>16</v>
      </c>
      <c r="H119" s="21" t="s">
        <v>60</v>
      </c>
    </row>
    <row r="120" spans="1:8" x14ac:dyDescent="0.25">
      <c r="A120" s="11" t="s">
        <v>38</v>
      </c>
      <c r="B120" s="12">
        <v>44546</v>
      </c>
      <c r="C120" s="13" t="str">
        <f>"Emilio Luvini SAGL  Ingegneria Civile, Agno"</f>
        <v>Emilio Luvini SAGL  Ingegneria Civile, Agno</v>
      </c>
      <c r="D120" s="13" t="str">
        <f>"progettazione rinforzo atrio edificio scuola elementare"</f>
        <v>progettazione rinforzo atrio edificio scuola elementare</v>
      </c>
      <c r="E120" s="14">
        <v>5707</v>
      </c>
      <c r="F120" s="20" t="s">
        <v>11</v>
      </c>
      <c r="G120" s="21" t="s">
        <v>12</v>
      </c>
      <c r="H120" s="11" t="s">
        <v>54</v>
      </c>
    </row>
    <row r="121" spans="1:8" x14ac:dyDescent="0.25">
      <c r="A121" s="11" t="s">
        <v>38</v>
      </c>
      <c r="B121" s="12">
        <v>44319</v>
      </c>
      <c r="C121" s="13" t="str">
        <f>"Flavio Togni SA, Lugano Pambio Noranco"</f>
        <v>Flavio Togni SA, Lugano Pambio Noranco</v>
      </c>
      <c r="D121" s="13" t="str">
        <f>"impianto videosorveglianza Ponte Tresa"</f>
        <v>impianto videosorveglianza Ponte Tresa</v>
      </c>
      <c r="E121" s="14">
        <v>18603.7</v>
      </c>
      <c r="F121" s="20" t="s">
        <v>14</v>
      </c>
      <c r="G121" s="21" t="s">
        <v>16</v>
      </c>
      <c r="H121" s="21" t="s">
        <v>60</v>
      </c>
    </row>
    <row r="122" spans="1:8" x14ac:dyDescent="0.25">
      <c r="A122" s="11" t="s">
        <v>38</v>
      </c>
      <c r="B122" s="12">
        <v>44278</v>
      </c>
      <c r="C122" s="13" t="str">
        <f>"Francesco Allievi SA, Ascona"</f>
        <v>Francesco Allievi SA, Ascona</v>
      </c>
      <c r="D122" s="13" t="str">
        <f>"progetto moderazione del Traffico Lotto 1 + 2,3,4 + 5"</f>
        <v>progetto moderazione del Traffico Lotto 1 + 2,3,4 + 5</v>
      </c>
      <c r="E122" s="14">
        <v>5571</v>
      </c>
      <c r="F122" s="20" t="s">
        <v>11</v>
      </c>
      <c r="G122" s="21" t="s">
        <v>12</v>
      </c>
      <c r="H122" s="11" t="s">
        <v>52</v>
      </c>
    </row>
    <row r="123" spans="1:8" x14ac:dyDescent="0.25">
      <c r="A123" s="11" t="s">
        <v>38</v>
      </c>
      <c r="B123" s="12">
        <v>44207</v>
      </c>
      <c r="C123" s="13" t="str">
        <f>"Freddy &amp; Mathy Snack Bar, Tresa Ponte Tresa"</f>
        <v>Freddy &amp; Mathy Snack Bar, Tresa Ponte Tresa</v>
      </c>
      <c r="D123" s="13" t="str">
        <f>"fornitura e trasporto pasti scuola infanzia e scuola elementare"</f>
        <v>fornitura e trasporto pasti scuola infanzia e scuola elementare</v>
      </c>
      <c r="E123" s="14">
        <v>8906.7000000000007</v>
      </c>
      <c r="F123" s="20" t="s">
        <v>14</v>
      </c>
      <c r="G123" s="21" t="s">
        <v>12</v>
      </c>
      <c r="H123" s="11" t="s">
        <v>52</v>
      </c>
    </row>
    <row r="124" spans="1:8" x14ac:dyDescent="0.25">
      <c r="A124" s="11" t="s">
        <v>38</v>
      </c>
      <c r="B124" s="12">
        <v>44454</v>
      </c>
      <c r="C124" s="13" t="str">
        <f>"Gioia Combustibili SA, Mezzovico Vira"</f>
        <v>Gioia Combustibili SA, Mezzovico Vira</v>
      </c>
      <c r="D124" s="13" t="str">
        <f>"Rifernimento olio combustibile scuola elementare"</f>
        <v>Rifernimento olio combustibile scuola elementare</v>
      </c>
      <c r="E124" s="14">
        <v>5358.65</v>
      </c>
      <c r="F124" s="20" t="s">
        <v>14</v>
      </c>
      <c r="G124" s="21" t="s">
        <v>12</v>
      </c>
      <c r="H124" s="11" t="s">
        <v>52</v>
      </c>
    </row>
    <row r="125" spans="1:8" x14ac:dyDescent="0.25">
      <c r="A125" s="11" t="s">
        <v>38</v>
      </c>
      <c r="B125" s="12">
        <v>44438</v>
      </c>
      <c r="C125" s="13" t="str">
        <f>"Impresa di pittura Campana, Tresa Croglio"</f>
        <v>Impresa di pittura Campana, Tresa Croglio</v>
      </c>
      <c r="D125" s="13" t="str">
        <f>"opere da pittore scuola elementare"</f>
        <v>opere da pittore scuola elementare</v>
      </c>
      <c r="E125" s="14">
        <v>11657.5</v>
      </c>
      <c r="F125" s="20" t="s">
        <v>51</v>
      </c>
      <c r="G125" s="21" t="s">
        <v>12</v>
      </c>
      <c r="H125" s="11" t="s">
        <v>52</v>
      </c>
    </row>
    <row r="126" spans="1:8" x14ac:dyDescent="0.25">
      <c r="A126" s="11" t="s">
        <v>38</v>
      </c>
      <c r="B126" s="12">
        <v>44382</v>
      </c>
      <c r="C126" s="13" t="str">
        <f t="shared" ref="C126:C128" si="5">"Ingegneria Bottani &amp; Associati SA, Caslano"</f>
        <v>Ingegneria Bottani &amp; Associati SA, Caslano</v>
      </c>
      <c r="D126" s="13" t="str">
        <f>"nuovo serbatoio unico Rocchetta, impianto di telegestione"</f>
        <v>nuovo serbatoio unico Rocchetta, impianto di telegestione</v>
      </c>
      <c r="E126" s="14">
        <v>14013.7</v>
      </c>
      <c r="F126" s="20" t="s">
        <v>11</v>
      </c>
      <c r="G126" s="21" t="s">
        <v>12</v>
      </c>
      <c r="H126" s="11" t="s">
        <v>52</v>
      </c>
    </row>
    <row r="127" spans="1:8" x14ac:dyDescent="0.25">
      <c r="A127" s="11" t="s">
        <v>38</v>
      </c>
      <c r="B127" s="12">
        <v>44561</v>
      </c>
      <c r="C127" s="13" t="str">
        <f t="shared" si="5"/>
        <v>Ingegneria Bottani &amp; Associati SA, Caslano</v>
      </c>
      <c r="D127" s="13" t="str">
        <f>"prestazioni diverse acqua potabile anno 2021"</f>
        <v>prestazioni diverse acqua potabile anno 2021</v>
      </c>
      <c r="E127" s="14">
        <v>6492.5</v>
      </c>
      <c r="F127" s="20" t="s">
        <v>11</v>
      </c>
      <c r="G127" s="21" t="s">
        <v>12</v>
      </c>
      <c r="H127" s="11" t="s">
        <v>52</v>
      </c>
    </row>
    <row r="128" spans="1:8" x14ac:dyDescent="0.25">
      <c r="A128" s="11" t="s">
        <v>38</v>
      </c>
      <c r="B128" s="12">
        <v>44349</v>
      </c>
      <c r="C128" s="13" t="str">
        <f t="shared" si="5"/>
        <v>Ingegneria Bottani &amp; Associati SA, Caslano</v>
      </c>
      <c r="D128" s="13" t="str">
        <f>"studio PianoGeneraleAcquedotto"</f>
        <v>studio PianoGeneraleAcquedotto</v>
      </c>
      <c r="E128" s="14">
        <v>18440.8</v>
      </c>
      <c r="F128" s="20" t="s">
        <v>11</v>
      </c>
      <c r="G128" s="21" t="s">
        <v>12</v>
      </c>
      <c r="H128" s="11" t="s">
        <v>52</v>
      </c>
    </row>
    <row r="129" spans="1:8" x14ac:dyDescent="0.25">
      <c r="A129" s="11" t="s">
        <v>38</v>
      </c>
      <c r="B129" s="12">
        <v>44309</v>
      </c>
      <c r="C129" s="13" t="str">
        <f>"Interfida  Revisioni e consulenze SA, Chiasso"</f>
        <v>Interfida  Revisioni e consulenze SA, Chiasso</v>
      </c>
      <c r="D129" s="13" t="s">
        <v>40</v>
      </c>
      <c r="E129" s="14">
        <v>10700</v>
      </c>
      <c r="F129" s="20" t="s">
        <v>11</v>
      </c>
      <c r="G129" s="21" t="s">
        <v>12</v>
      </c>
      <c r="H129" s="11" t="s">
        <v>52</v>
      </c>
    </row>
    <row r="130" spans="1:8" x14ac:dyDescent="0.25">
      <c r="A130" s="11" t="s">
        <v>38</v>
      </c>
      <c r="B130" s="12">
        <v>44207</v>
      </c>
      <c r="C130" s="13" t="str">
        <f>"ISS servizio canalizzazioni SA, Manno"</f>
        <v>ISS servizio canalizzazioni SA, Manno</v>
      </c>
      <c r="D130" s="13" t="s">
        <v>41</v>
      </c>
      <c r="E130" s="14">
        <v>13185.25</v>
      </c>
      <c r="F130" s="20" t="s">
        <v>11</v>
      </c>
      <c r="G130" s="21" t="s">
        <v>12</v>
      </c>
      <c r="H130" s="11" t="s">
        <v>52</v>
      </c>
    </row>
    <row r="131" spans="1:8" x14ac:dyDescent="0.25">
      <c r="A131" s="11" t="s">
        <v>38</v>
      </c>
      <c r="B131" s="12">
        <v>44410</v>
      </c>
      <c r="C131" s="13" t="str">
        <f>"ITS Servizio Canalizzazioni SA, Manno"</f>
        <v>ITS Servizio Canalizzazioni SA, Manno</v>
      </c>
      <c r="D131" s="13" t="s">
        <v>41</v>
      </c>
      <c r="E131" s="14">
        <v>7336.65</v>
      </c>
      <c r="F131" s="20" t="s">
        <v>11</v>
      </c>
      <c r="G131" s="21" t="s">
        <v>12</v>
      </c>
      <c r="H131" s="11" t="s">
        <v>52</v>
      </c>
    </row>
    <row r="132" spans="1:8" x14ac:dyDescent="0.25">
      <c r="A132" s="11" t="s">
        <v>38</v>
      </c>
      <c r="B132" s="12">
        <v>44207</v>
      </c>
      <c r="C132" s="13" t="str">
        <f>"Laghi Arnoldo &amp; Figli SA, Caslano"</f>
        <v>Laghi Arnoldo &amp; Figli SA, Caslano</v>
      </c>
      <c r="D132" s="13" t="s">
        <v>42</v>
      </c>
      <c r="E132" s="14">
        <v>10041.450000000001</v>
      </c>
      <c r="F132" s="20" t="s">
        <v>13</v>
      </c>
      <c r="G132" s="21" t="s">
        <v>12</v>
      </c>
      <c r="H132" s="11" t="s">
        <v>52</v>
      </c>
    </row>
    <row r="133" spans="1:8" x14ac:dyDescent="0.25">
      <c r="A133" s="11" t="s">
        <v>38</v>
      </c>
      <c r="B133" s="12">
        <v>44331</v>
      </c>
      <c r="C133" s="13" t="str">
        <f>"Magic Deumidificazioni Sagl, Novazzano"</f>
        <v>Magic Deumidificazioni Sagl, Novazzano</v>
      </c>
      <c r="D133" s="13" t="str">
        <f>"fornitura deumidificatori per danno acqua"</f>
        <v>fornitura deumidificatori per danno acqua</v>
      </c>
      <c r="E133" s="14">
        <v>6036.7</v>
      </c>
      <c r="F133" s="20" t="s">
        <v>14</v>
      </c>
      <c r="G133" s="21" t="s">
        <v>12</v>
      </c>
      <c r="H133" s="11" t="s">
        <v>52</v>
      </c>
    </row>
    <row r="134" spans="1:8" x14ac:dyDescent="0.25">
      <c r="A134" s="11" t="s">
        <v>38</v>
      </c>
      <c r="B134" s="12">
        <v>44453</v>
      </c>
      <c r="C134" s="13" t="str">
        <f>"Marino Bernasconi SA, Bedano"</f>
        <v>Marino Bernasconi SA, Bedano</v>
      </c>
      <c r="D134" s="13" t="str">
        <f>"Copertura zona loculi cimitero"</f>
        <v>Copertura zona loculi cimitero</v>
      </c>
      <c r="E134" s="14">
        <v>13927.55</v>
      </c>
      <c r="F134" s="20" t="s">
        <v>51</v>
      </c>
      <c r="G134" s="21" t="s">
        <v>12</v>
      </c>
      <c r="H134" s="11" t="s">
        <v>52</v>
      </c>
    </row>
    <row r="135" spans="1:8" x14ac:dyDescent="0.25">
      <c r="A135" s="11" t="s">
        <v>38</v>
      </c>
      <c r="B135" s="12">
        <v>44546</v>
      </c>
      <c r="C135" s="13" t="str">
        <f>"Pavisud SA, Bioggio"</f>
        <v>Pavisud SA, Bioggio</v>
      </c>
      <c r="D135" s="13" t="str">
        <f>"Opere pavimentazione nuovo parco giochi comunale"</f>
        <v>Opere pavimentazione nuovo parco giochi comunale</v>
      </c>
      <c r="E135" s="14">
        <v>7170.35</v>
      </c>
      <c r="F135" s="20" t="s">
        <v>13</v>
      </c>
      <c r="G135" s="21" t="s">
        <v>12</v>
      </c>
      <c r="H135" s="11" t="s">
        <v>52</v>
      </c>
    </row>
    <row r="136" spans="1:8" x14ac:dyDescent="0.25">
      <c r="A136" s="11" t="s">
        <v>38</v>
      </c>
      <c r="B136" s="12">
        <v>44561</v>
      </c>
      <c r="C136" s="13" t="str">
        <f>"Pedrazzini Tipografia SA, Locarno"</f>
        <v>Pedrazzini Tipografia SA, Locarno</v>
      </c>
      <c r="D136" s="13" t="str">
        <f>"Rivista la Breva edizione 2021"</f>
        <v>Rivista la Breva edizione 2021</v>
      </c>
      <c r="E136" s="14">
        <v>6757.2</v>
      </c>
      <c r="F136" s="20" t="s">
        <v>14</v>
      </c>
      <c r="G136" s="21" t="s">
        <v>12</v>
      </c>
      <c r="H136" s="11" t="s">
        <v>52</v>
      </c>
    </row>
    <row r="137" spans="1:8" x14ac:dyDescent="0.25">
      <c r="A137" s="11" t="s">
        <v>38</v>
      </c>
      <c r="B137" s="12">
        <v>44429</v>
      </c>
      <c r="C137" s="13" t="str">
        <f>"Puliconsult SA, Caslano"</f>
        <v>Puliconsult SA, Caslano</v>
      </c>
      <c r="D137" s="13" t="s">
        <v>43</v>
      </c>
      <c r="E137" s="14">
        <v>5100</v>
      </c>
      <c r="F137" s="20" t="s">
        <v>11</v>
      </c>
      <c r="G137" s="21" t="s">
        <v>12</v>
      </c>
      <c r="H137" s="11" t="s">
        <v>52</v>
      </c>
    </row>
    <row r="138" spans="1:8" x14ac:dyDescent="0.25">
      <c r="A138" s="11" t="s">
        <v>38</v>
      </c>
      <c r="B138" s="12">
        <v>44207</v>
      </c>
      <c r="C138" s="13" t="str">
        <f>"Ratti Fiduciaria, Biasca"</f>
        <v>Ratti Fiduciaria, Biasca</v>
      </c>
      <c r="D138" s="13" t="str">
        <f>"Prestazioni contabili gennaio-aprile 2021"</f>
        <v>Prestazioni contabili gennaio-aprile 2021</v>
      </c>
      <c r="E138" s="14">
        <v>11609.1</v>
      </c>
      <c r="F138" s="20" t="s">
        <v>11</v>
      </c>
      <c r="G138" s="21" t="s">
        <v>12</v>
      </c>
      <c r="H138" s="11" t="s">
        <v>54</v>
      </c>
    </row>
    <row r="139" spans="1:8" x14ac:dyDescent="0.25">
      <c r="A139" s="11" t="s">
        <v>38</v>
      </c>
      <c r="B139" s="12">
        <v>44244</v>
      </c>
      <c r="C139" s="13" t="str">
        <f>"Righetti combustibili SA, Lugano"</f>
        <v>Righetti combustibili SA, Lugano</v>
      </c>
      <c r="D139" s="13" t="str">
        <f>"fornitura olio riscaldamento"</f>
        <v>fornitura olio riscaldamento</v>
      </c>
      <c r="E139" s="14">
        <v>6562.35</v>
      </c>
      <c r="F139" s="20" t="s">
        <v>14</v>
      </c>
      <c r="G139" s="21" t="s">
        <v>12</v>
      </c>
      <c r="H139" s="11" t="s">
        <v>52</v>
      </c>
    </row>
    <row r="140" spans="1:8" x14ac:dyDescent="0.25">
      <c r="A140" s="11" t="s">
        <v>38</v>
      </c>
      <c r="B140" s="12">
        <v>44355</v>
      </c>
      <c r="C140" s="13" t="str">
        <f>"Riva Elettroprogress SA, Tresa Ponte Tresa"</f>
        <v>Riva Elettroprogress SA, Tresa Ponte Tresa</v>
      </c>
      <c r="D140" s="13" t="str">
        <f>"opere impianto videosorveglianza Ponte Tresa"</f>
        <v>opere impianto videosorveglianza Ponte Tresa</v>
      </c>
      <c r="E140" s="14">
        <v>5238.75</v>
      </c>
      <c r="F140" s="20" t="s">
        <v>51</v>
      </c>
      <c r="G140" s="21" t="s">
        <v>12</v>
      </c>
      <c r="H140" s="11" t="s">
        <v>52</v>
      </c>
    </row>
    <row r="141" spans="1:8" x14ac:dyDescent="0.25">
      <c r="A141" s="11" t="s">
        <v>38</v>
      </c>
      <c r="B141" s="12">
        <v>44216</v>
      </c>
      <c r="C141" s="13" t="str">
        <f>"Riva Elettroprogress SA, Tresa Ponte Tresa"</f>
        <v>Riva Elettroprogress SA, Tresa Ponte Tresa</v>
      </c>
      <c r="D141" s="13" t="str">
        <f>"posa linee alimentazione nuovo serbatoio unico Rocchetta"</f>
        <v>posa linee alimentazione nuovo serbatoio unico Rocchetta</v>
      </c>
      <c r="E141" s="14">
        <v>5941.7</v>
      </c>
      <c r="F141" s="20" t="s">
        <v>51</v>
      </c>
      <c r="G141" s="21" t="s">
        <v>12</v>
      </c>
      <c r="H141" s="11" t="s">
        <v>52</v>
      </c>
    </row>
    <row r="142" spans="1:8" x14ac:dyDescent="0.25">
      <c r="A142" s="11" t="s">
        <v>38</v>
      </c>
      <c r="B142" s="12">
        <v>44270</v>
      </c>
      <c r="C142" s="13" t="str">
        <f>"SPQR costruzioni e conservazioni Sagl, Tresa Ponte Tresa"</f>
        <v>SPQR costruzioni e conservazioni Sagl, Tresa Ponte Tresa</v>
      </c>
      <c r="D142" s="13" t="str">
        <f>"ricerca perdita acqua  Via alle Scuole"</f>
        <v>ricerca perdita acqua  Via alle Scuole</v>
      </c>
      <c r="E142" s="14">
        <v>6128.15</v>
      </c>
      <c r="F142" s="20" t="s">
        <v>51</v>
      </c>
      <c r="G142" s="21" t="s">
        <v>12</v>
      </c>
      <c r="H142" s="11" t="s">
        <v>52</v>
      </c>
    </row>
    <row r="143" spans="1:8" x14ac:dyDescent="0.25">
      <c r="A143" s="11" t="s">
        <v>38</v>
      </c>
      <c r="B143" s="12">
        <v>44545</v>
      </c>
      <c r="C143" s="13" t="str">
        <f>"SPQR costruzioni e conservazioni Sagl, Tresa Ponte Tresa"</f>
        <v>SPQR costruzioni e conservazioni Sagl, Tresa Ponte Tresa</v>
      </c>
      <c r="D143" s="13" t="str">
        <f>"realizzazione rinforzi strutturali scuola elementare"</f>
        <v>realizzazione rinforzi strutturali scuola elementare</v>
      </c>
      <c r="E143" s="14">
        <v>24743.75</v>
      </c>
      <c r="F143" s="20" t="s">
        <v>13</v>
      </c>
      <c r="G143" s="21" t="s">
        <v>12</v>
      </c>
      <c r="H143" s="11" t="s">
        <v>52</v>
      </c>
    </row>
    <row r="144" spans="1:8" x14ac:dyDescent="0.25">
      <c r="A144" s="11" t="s">
        <v>38</v>
      </c>
      <c r="B144" s="12">
        <v>44261</v>
      </c>
      <c r="C144" s="13" t="str">
        <f>"Studio d'Ingegneria Bloch Roussette Casale SA, Agno"</f>
        <v>Studio d'Ingegneria Bloch Roussette Casale SA, Agno</v>
      </c>
      <c r="D144" s="13" t="str">
        <f>"progettazione Briglia Val  di Cross  - Riale Monte Oliveto"</f>
        <v>progettazione Briglia Val  di Cross  - Riale Monte Oliveto</v>
      </c>
      <c r="E144" s="14">
        <v>5200</v>
      </c>
      <c r="F144" s="20" t="s">
        <v>11</v>
      </c>
      <c r="G144" s="21" t="s">
        <v>12</v>
      </c>
      <c r="H144" s="11" t="s">
        <v>52</v>
      </c>
    </row>
    <row r="145" spans="1:8" x14ac:dyDescent="0.25">
      <c r="A145" s="11" t="s">
        <v>38</v>
      </c>
      <c r="B145" s="12">
        <v>44299</v>
      </c>
      <c r="C145" s="13" t="str">
        <f t="shared" ref="C145:C146" si="6">"Studio d'Ingegneria Bloch Roussette Casale SA, Agno"</f>
        <v>Studio d'Ingegneria Bloch Roussette Casale SA, Agno</v>
      </c>
      <c r="D145" s="13" t="str">
        <f>"studio Preliminare analisi dissesti  riale Sott Nüsei a Ponte Tresa"</f>
        <v>studio Preliminare analisi dissesti  riale Sott Nüsei a Ponte Tresa</v>
      </c>
      <c r="E145" s="14">
        <v>6000</v>
      </c>
      <c r="F145" s="20" t="s">
        <v>11</v>
      </c>
      <c r="G145" s="21" t="s">
        <v>12</v>
      </c>
      <c r="H145" s="11" t="s">
        <v>52</v>
      </c>
    </row>
    <row r="146" spans="1:8" x14ac:dyDescent="0.25">
      <c r="A146" s="11" t="s">
        <v>38</v>
      </c>
      <c r="B146" s="12">
        <v>44398</v>
      </c>
      <c r="C146" s="13" t="str">
        <f t="shared" si="6"/>
        <v>Studio d'Ingegneria Bloch Roussette Casale SA, Agno</v>
      </c>
      <c r="D146" s="13" t="str">
        <f>"acconto progettazione opere sevicoltura cura del bosco"</f>
        <v>acconto progettazione opere sevicoltura cura del bosco</v>
      </c>
      <c r="E146" s="14">
        <v>12999.1</v>
      </c>
      <c r="F146" s="20" t="s">
        <v>11</v>
      </c>
      <c r="G146" s="21" t="s">
        <v>12</v>
      </c>
      <c r="H146" s="11" t="s">
        <v>52</v>
      </c>
    </row>
    <row r="147" spans="1:8" x14ac:dyDescent="0.25">
      <c r="A147" s="11" t="s">
        <v>38</v>
      </c>
      <c r="B147" s="12">
        <v>44207</v>
      </c>
      <c r="C147" s="13" t="str">
        <f>"Studio legale Avv. Attilio Rampini, Lugano"</f>
        <v>Studio legale Avv. Attilio Rampini, Lugano</v>
      </c>
      <c r="D147" s="13" t="s">
        <v>44</v>
      </c>
      <c r="E147" s="14">
        <v>21542.799999999999</v>
      </c>
      <c r="F147" s="20" t="s">
        <v>11</v>
      </c>
      <c r="G147" s="21" t="s">
        <v>12</v>
      </c>
      <c r="H147" s="11" t="s">
        <v>52</v>
      </c>
    </row>
    <row r="148" spans="1:8" x14ac:dyDescent="0.25">
      <c r="A148" s="11" t="s">
        <v>38</v>
      </c>
      <c r="B148" s="12">
        <v>44505</v>
      </c>
      <c r="C148" s="13" t="str">
        <f>"Think Exergy SA, Mendrisio"</f>
        <v>Think Exergy SA, Mendrisio</v>
      </c>
      <c r="D148" s="13" t="str">
        <f>"consulenza ristrutturazione scuola elementare e ampliamento scuola dell'infanzia"</f>
        <v>consulenza ristrutturazione scuola elementare e ampliamento scuola dell'infanzia</v>
      </c>
      <c r="E148" s="14">
        <v>7440.1</v>
      </c>
      <c r="F148" s="20" t="s">
        <v>11</v>
      </c>
      <c r="G148" s="21" t="s">
        <v>12</v>
      </c>
      <c r="H148" s="11" t="s">
        <v>52</v>
      </c>
    </row>
    <row r="149" spans="1:8" x14ac:dyDescent="0.25">
      <c r="A149" s="11" t="s">
        <v>38</v>
      </c>
      <c r="B149" s="12">
        <v>44309</v>
      </c>
      <c r="C149" s="13" t="str">
        <f>"Verzeri &amp; Asmus SAGL  Ingegneri consulenti, Caslano"</f>
        <v>Verzeri &amp; Asmus SAGL  Ingegneri consulenti, Caslano</v>
      </c>
      <c r="D149" s="13" t="str">
        <f>"consulenza ristrutturazione scuola elementare e ampliamento scuola dell'infanzia"</f>
        <v>consulenza ristrutturazione scuola elementare e ampliamento scuola dell'infanzia</v>
      </c>
      <c r="E149" s="14">
        <v>13857.9</v>
      </c>
      <c r="F149" s="20" t="s">
        <v>11</v>
      </c>
      <c r="G149" s="21" t="s">
        <v>12</v>
      </c>
      <c r="H149" s="11" t="s">
        <v>52</v>
      </c>
    </row>
    <row r="150" spans="1:8" x14ac:dyDescent="0.25">
      <c r="A150" s="11" t="s">
        <v>38</v>
      </c>
      <c r="B150" s="12">
        <v>44207</v>
      </c>
      <c r="C150" s="13" t="str">
        <f>"Vismara &amp; CO SA, Davesco Soragno"</f>
        <v>Vismara &amp; CO SA, Davesco Soragno</v>
      </c>
      <c r="D150" s="13" t="s">
        <v>45</v>
      </c>
      <c r="E150" s="14">
        <v>9161.7000000000007</v>
      </c>
      <c r="F150" s="20" t="s">
        <v>11</v>
      </c>
      <c r="G150" s="21" t="s">
        <v>12</v>
      </c>
      <c r="H150" s="11" t="s">
        <v>52</v>
      </c>
    </row>
    <row r="151" spans="1:8" x14ac:dyDescent="0.25">
      <c r="C151" s="30"/>
      <c r="D151"/>
      <c r="F151" s="29"/>
    </row>
    <row r="152" spans="1:8" x14ac:dyDescent="0.25">
      <c r="A152" s="11" t="s">
        <v>46</v>
      </c>
      <c r="B152" s="12">
        <v>44207</v>
      </c>
      <c r="C152" s="13" t="str">
        <f t="shared" ref="C152" si="7">"Anacquaria SA"</f>
        <v>Anacquaria SA</v>
      </c>
      <c r="D152" s="13" t="s">
        <v>47</v>
      </c>
      <c r="E152" s="14">
        <v>12621.9</v>
      </c>
      <c r="F152" s="20" t="s">
        <v>11</v>
      </c>
      <c r="G152" s="21" t="s">
        <v>12</v>
      </c>
      <c r="H152" s="11" t="s">
        <v>52</v>
      </c>
    </row>
    <row r="153" spans="1:8" x14ac:dyDescent="0.25">
      <c r="A153" s="11" t="s">
        <v>46</v>
      </c>
      <c r="B153" s="12">
        <v>44561</v>
      </c>
      <c r="C153" s="13" t="str">
        <f>"Aziende industriali Lugano (AIL) SA, Lugano"</f>
        <v>Aziende industriali Lugano (AIL) SA, Lugano</v>
      </c>
      <c r="D153" s="13" t="str">
        <f>"Estensione Illuminaz. pubbl. Sessa Via Santa Maria"</f>
        <v>Estensione Illuminaz. pubbl. Sessa Via Santa Maria</v>
      </c>
      <c r="E153" s="14">
        <v>12202.55</v>
      </c>
      <c r="F153" s="20" t="s">
        <v>51</v>
      </c>
      <c r="G153" s="21" t="s">
        <v>12</v>
      </c>
      <c r="H153" s="21" t="s">
        <v>55</v>
      </c>
    </row>
    <row r="154" spans="1:8" x14ac:dyDescent="0.25">
      <c r="A154" s="11" t="s">
        <v>46</v>
      </c>
      <c r="B154" s="12">
        <v>44561</v>
      </c>
      <c r="C154" s="13" t="str">
        <f t="shared" ref="C154:C157" si="8">"Aziende industriali Lugano (AIL) SA, Lugano"</f>
        <v>Aziende industriali Lugano (AIL) SA, Lugano</v>
      </c>
      <c r="D154" s="13" t="str">
        <f>"Nuova illuminazione pubblica Ur Strecion Sessa"</f>
        <v>Nuova illuminazione pubblica Ur Strecion Sessa</v>
      </c>
      <c r="E154" s="14">
        <v>7890.8</v>
      </c>
      <c r="F154" s="20" t="s">
        <v>51</v>
      </c>
      <c r="G154" s="21" t="s">
        <v>12</v>
      </c>
      <c r="H154" s="21" t="s">
        <v>55</v>
      </c>
    </row>
    <row r="155" spans="1:8" x14ac:dyDescent="0.25">
      <c r="A155" s="11" t="s">
        <v>46</v>
      </c>
      <c r="B155" s="12">
        <v>44463</v>
      </c>
      <c r="C155" s="13" t="str">
        <f t="shared" si="8"/>
        <v>Aziende industriali Lugano (AIL) SA, Lugano</v>
      </c>
      <c r="D155" s="13" t="str">
        <f>"Estensione Illuminazione pubblica nucleo Lanera"</f>
        <v>Estensione Illuminazione pubblica nucleo Lanera</v>
      </c>
      <c r="E155" s="14">
        <v>11048.4</v>
      </c>
      <c r="F155" s="20" t="s">
        <v>51</v>
      </c>
      <c r="G155" s="21" t="s">
        <v>12</v>
      </c>
      <c r="H155" s="21" t="s">
        <v>55</v>
      </c>
    </row>
    <row r="156" spans="1:8" x14ac:dyDescent="0.25">
      <c r="A156" s="11" t="s">
        <v>46</v>
      </c>
      <c r="B156" s="12">
        <v>44421</v>
      </c>
      <c r="C156" s="13" t="str">
        <f t="shared" si="8"/>
        <v>Aziende industriali Lugano (AIL) SA, Lugano</v>
      </c>
      <c r="D156" s="13" t="str">
        <f>"estensione illuminazione pubblica  Contrada Trezzini e Piazza G. Rossi Sessa"</f>
        <v>estensione illuminazione pubblica  Contrada Trezzini e Piazza G. Rossi Sessa</v>
      </c>
      <c r="E156" s="14">
        <v>39899.1</v>
      </c>
      <c r="F156" s="20" t="s">
        <v>51</v>
      </c>
      <c r="G156" s="21" t="s">
        <v>12</v>
      </c>
      <c r="H156" s="21" t="s">
        <v>55</v>
      </c>
    </row>
    <row r="157" spans="1:8" x14ac:dyDescent="0.25">
      <c r="A157" s="11" t="s">
        <v>46</v>
      </c>
      <c r="B157" s="12">
        <v>44421</v>
      </c>
      <c r="C157" s="13" t="str">
        <f t="shared" si="8"/>
        <v>Aziende industriali Lugano (AIL) SA, Lugano</v>
      </c>
      <c r="D157" s="13" t="str">
        <f>"modifica illuminazione pubblica via Ponte Tresa Sessa"</f>
        <v>modifica illuminazione pubblica via Ponte Tresa Sessa</v>
      </c>
      <c r="E157" s="14">
        <v>5945.2</v>
      </c>
      <c r="F157" s="20" t="s">
        <v>51</v>
      </c>
      <c r="G157" s="21" t="s">
        <v>12</v>
      </c>
      <c r="H157" s="21" t="s">
        <v>55</v>
      </c>
    </row>
    <row r="158" spans="1:8" x14ac:dyDescent="0.25">
      <c r="A158" s="11" t="s">
        <v>46</v>
      </c>
      <c r="B158" s="12">
        <v>44207</v>
      </c>
      <c r="C158" s="13" t="str">
        <f>"B &amp; B trasporti Sagl, Tresa Monteggio"</f>
        <v>B &amp; B trasporti Sagl, Tresa Monteggio</v>
      </c>
      <c r="D158" s="13" t="str">
        <f>"trasporto allievi scuola elementare 2021"</f>
        <v>trasporto allievi scuola elementare 2021</v>
      </c>
      <c r="E158" s="14">
        <v>8096.55</v>
      </c>
      <c r="F158" s="20" t="s">
        <v>11</v>
      </c>
      <c r="G158" s="21" t="s">
        <v>12</v>
      </c>
      <c r="H158" s="11" t="s">
        <v>52</v>
      </c>
    </row>
    <row r="159" spans="1:8" x14ac:dyDescent="0.25">
      <c r="A159" s="11" t="s">
        <v>46</v>
      </c>
      <c r="B159" s="12">
        <v>44207</v>
      </c>
      <c r="C159" s="13" t="str">
        <f>"Centro di Calcolo Elettronico, Gordola"</f>
        <v>Centro di Calcolo Elettronico, Gordola</v>
      </c>
      <c r="D159" s="13" t="s">
        <v>19</v>
      </c>
      <c r="E159" s="14">
        <v>5790.5</v>
      </c>
      <c r="F159" s="20" t="s">
        <v>11</v>
      </c>
      <c r="G159" s="21" t="s">
        <v>12</v>
      </c>
      <c r="H159" s="11" t="s">
        <v>52</v>
      </c>
    </row>
    <row r="160" spans="1:8" x14ac:dyDescent="0.25">
      <c r="A160" s="11" t="s">
        <v>46</v>
      </c>
      <c r="B160" s="12">
        <v>44320</v>
      </c>
      <c r="C160" s="13" t="str">
        <f>"Dick &amp; Figli SA, Lugano"</f>
        <v>Dick &amp; Figli SA, Lugano</v>
      </c>
      <c r="D160" s="13" t="str">
        <f>"mobilio scuola elementare Sessa"</f>
        <v>mobilio scuola elementare Sessa</v>
      </c>
      <c r="E160" s="14">
        <v>48945</v>
      </c>
      <c r="F160" s="20" t="s">
        <v>14</v>
      </c>
      <c r="G160" s="21" t="s">
        <v>12</v>
      </c>
      <c r="H160" s="11" t="s">
        <v>52</v>
      </c>
    </row>
    <row r="161" spans="1:8" x14ac:dyDescent="0.25">
      <c r="A161" s="11" t="s">
        <v>46</v>
      </c>
      <c r="B161" s="12">
        <v>44207</v>
      </c>
      <c r="C161" s="13" t="str">
        <f>"ECSA Chemicals AG, Balerna"</f>
        <v>ECSA Chemicals AG, Balerna</v>
      </c>
      <c r="D161" s="13" t="str">
        <f>"soda caustica"</f>
        <v>soda caustica</v>
      </c>
      <c r="E161" s="14">
        <v>11589.2</v>
      </c>
      <c r="F161" s="20" t="s">
        <v>14</v>
      </c>
      <c r="G161" s="21" t="s">
        <v>12</v>
      </c>
      <c r="H161" s="11" t="s">
        <v>52</v>
      </c>
    </row>
    <row r="162" spans="1:8" x14ac:dyDescent="0.25">
      <c r="A162" s="11" t="s">
        <v>46</v>
      </c>
      <c r="B162" s="12">
        <v>44207</v>
      </c>
      <c r="C162" s="13" t="s">
        <v>57</v>
      </c>
      <c r="D162" s="13" t="s">
        <v>17</v>
      </c>
      <c r="E162" s="14">
        <v>46250.15</v>
      </c>
      <c r="F162" s="20" t="s">
        <v>11</v>
      </c>
      <c r="G162" s="21" t="s">
        <v>12</v>
      </c>
      <c r="H162" s="11" t="s">
        <v>52</v>
      </c>
    </row>
    <row r="163" spans="1:8" x14ac:dyDescent="0.25">
      <c r="A163" s="11" t="s">
        <v>46</v>
      </c>
      <c r="B163" s="12">
        <v>44207</v>
      </c>
      <c r="C163" s="13" t="str">
        <f>"Fratelli Maffi SA, Davesco Soragno"</f>
        <v>Fratelli Maffi SA, Davesco Soragno</v>
      </c>
      <c r="D163" s="13" t="s">
        <v>33</v>
      </c>
      <c r="E163" s="14">
        <v>18750.150000000001</v>
      </c>
      <c r="F163" s="20" t="s">
        <v>11</v>
      </c>
      <c r="G163" s="21" t="s">
        <v>12</v>
      </c>
      <c r="H163" s="11" t="s">
        <v>52</v>
      </c>
    </row>
    <row r="164" spans="1:8" x14ac:dyDescent="0.25">
      <c r="A164" s="11" t="s">
        <v>46</v>
      </c>
      <c r="B164" s="12">
        <v>44449</v>
      </c>
      <c r="C164" s="13" t="str">
        <f>"Geolog.ch SA, Bellinzona"</f>
        <v>Geolog.ch SA, Bellinzona</v>
      </c>
      <c r="D164" s="13" t="str">
        <f>"consulenza idrogeologica x contaminzione pozzo  Campagna Sessa"</f>
        <v>consulenza idrogeologica x contaminzione pozzo  Campagna Sessa</v>
      </c>
      <c r="E164" s="14">
        <v>7423.4</v>
      </c>
      <c r="F164" s="20" t="s">
        <v>11</v>
      </c>
      <c r="G164" s="21" t="s">
        <v>12</v>
      </c>
      <c r="H164" s="11" t="s">
        <v>52</v>
      </c>
    </row>
    <row r="165" spans="1:8" x14ac:dyDescent="0.25">
      <c r="A165" s="11" t="s">
        <v>46</v>
      </c>
      <c r="B165" s="12">
        <v>44420</v>
      </c>
      <c r="C165" s="13" t="str">
        <f>"Geomatica Righitto Sagl, Lugano"</f>
        <v>Geomatica Righitto Sagl, Lugano</v>
      </c>
      <c r="D165" s="13" t="str">
        <f>"tenuta a giorno misurazione ufficiale"</f>
        <v>tenuta a giorno misurazione ufficiale</v>
      </c>
      <c r="E165" s="14">
        <v>5568.75</v>
      </c>
      <c r="F165" s="20" t="s">
        <v>11</v>
      </c>
      <c r="G165" s="21" t="s">
        <v>12</v>
      </c>
      <c r="H165" s="11" t="s">
        <v>52</v>
      </c>
    </row>
    <row r="166" spans="1:8" x14ac:dyDescent="0.25">
      <c r="A166" s="11" t="s">
        <v>46</v>
      </c>
      <c r="B166" s="12">
        <v>44337</v>
      </c>
      <c r="C166" s="13" t="str">
        <f>"Germano Farina Sagl, Tresa Monteggio"</f>
        <v>Germano Farina Sagl, Tresa Monteggio</v>
      </c>
      <c r="D166" s="13" t="str">
        <f>"Sistemazione sedime fondo n.113 P ex Piazzini"</f>
        <v>Sistemazione sedime fondo n.113 P ex Piazzini</v>
      </c>
      <c r="E166" s="14">
        <v>5560</v>
      </c>
      <c r="F166" s="20" t="s">
        <v>11</v>
      </c>
      <c r="G166" s="21" t="s">
        <v>12</v>
      </c>
      <c r="H166" s="11" t="s">
        <v>52</v>
      </c>
    </row>
    <row r="167" spans="1:8" x14ac:dyDescent="0.25">
      <c r="A167" s="11" t="s">
        <v>46</v>
      </c>
      <c r="B167" s="12">
        <v>44245</v>
      </c>
      <c r="C167" s="13" t="str">
        <f>"Germano Farina Sagl, Tresa Monteggio"</f>
        <v>Germano Farina Sagl, Tresa Monteggio</v>
      </c>
      <c r="D167" s="13" t="str">
        <f>"ritiro e macinatura compostaggio Ecocentro"</f>
        <v>ritiro e macinatura compostaggio Ecocentro</v>
      </c>
      <c r="E167" s="14">
        <v>18049</v>
      </c>
      <c r="F167" s="20" t="s">
        <v>11</v>
      </c>
      <c r="G167" s="21" t="s">
        <v>12</v>
      </c>
      <c r="H167" s="11" t="s">
        <v>52</v>
      </c>
    </row>
    <row r="168" spans="1:8" x14ac:dyDescent="0.25">
      <c r="A168" s="11" t="s">
        <v>46</v>
      </c>
      <c r="B168" s="12">
        <v>44463</v>
      </c>
      <c r="C168" s="13" t="str">
        <f>"Gioia Combustibili SA, Mezzovico Vira"</f>
        <v>Gioia Combustibili SA, Mezzovico Vira</v>
      </c>
      <c r="D168" s="13" t="str">
        <f>"olio riscaldamento stabile Sessa"</f>
        <v>olio riscaldamento stabile Sessa</v>
      </c>
      <c r="E168" s="14">
        <v>5408.9</v>
      </c>
      <c r="F168" s="20" t="s">
        <v>14</v>
      </c>
      <c r="G168" s="21" t="s">
        <v>12</v>
      </c>
      <c r="H168" s="11" t="s">
        <v>52</v>
      </c>
    </row>
    <row r="169" spans="1:8" x14ac:dyDescent="0.25">
      <c r="A169" s="11" t="s">
        <v>46</v>
      </c>
      <c r="B169" s="12">
        <v>44207</v>
      </c>
      <c r="C169" s="13" t="str">
        <f>"Lepori + Storni SA, Lugano"</f>
        <v>Lepori + Storni SA, Lugano</v>
      </c>
      <c r="D169" s="13" t="str">
        <f>"fornitura materiale scolastico 2021"</f>
        <v>fornitura materiale scolastico 2021</v>
      </c>
      <c r="E169" s="14">
        <v>5783.2</v>
      </c>
      <c r="F169" s="20" t="s">
        <v>14</v>
      </c>
      <c r="G169" s="21" t="s">
        <v>12</v>
      </c>
      <c r="H169" s="11" t="s">
        <v>52</v>
      </c>
    </row>
    <row r="170" spans="1:8" x14ac:dyDescent="0.25">
      <c r="A170" s="11" t="s">
        <v>46</v>
      </c>
      <c r="B170" s="12">
        <v>44351</v>
      </c>
      <c r="C170" s="13" t="str">
        <f>"Locatelli Stefano, Tresa Sessa"</f>
        <v>Locatelli Stefano, Tresa Sessa</v>
      </c>
      <c r="D170" s="13" t="str">
        <f>"lavori al Piccolo Museo di Sessa-Monteggio"</f>
        <v>lavori al Piccolo Museo di Sessa-Monteggio</v>
      </c>
      <c r="E170" s="14">
        <v>7549.6</v>
      </c>
      <c r="F170" s="20" t="s">
        <v>11</v>
      </c>
      <c r="G170" s="21" t="s">
        <v>12</v>
      </c>
      <c r="H170" s="11" t="s">
        <v>52</v>
      </c>
    </row>
    <row r="171" spans="1:8" x14ac:dyDescent="0.25">
      <c r="A171" s="11" t="s">
        <v>46</v>
      </c>
      <c r="B171" s="12">
        <v>44295</v>
      </c>
      <c r="C171" s="13" t="str">
        <f>"Oehen Guido, Tresa Sessa"</f>
        <v>Oehen Guido, Tresa Sessa</v>
      </c>
      <c r="D171" s="13" t="str">
        <f>"servizio calla e sgombero neve 2020-21"</f>
        <v>servizio calla e sgombero neve 2020-21</v>
      </c>
      <c r="E171" s="14">
        <v>11029</v>
      </c>
      <c r="F171" s="20" t="s">
        <v>11</v>
      </c>
      <c r="G171" s="31" t="s">
        <v>12</v>
      </c>
      <c r="H171" s="11" t="s">
        <v>52</v>
      </c>
    </row>
    <row r="172" spans="1:8" x14ac:dyDescent="0.25">
      <c r="A172" s="11" t="s">
        <v>46</v>
      </c>
      <c r="B172" s="12">
        <v>44207</v>
      </c>
      <c r="C172" s="13" t="str">
        <f>"Onys Digital Solutions SA, Manno"</f>
        <v>Onys Digital Solutions SA, Manno</v>
      </c>
      <c r="D172" s="13" t="str">
        <f>"Servizio noleggio e assistenza apparecchi multifunzionali amministrazione comunale"</f>
        <v>Servizio noleggio e assistenza apparecchi multifunzionali amministrazione comunale</v>
      </c>
      <c r="E172" s="14">
        <v>6292.8</v>
      </c>
      <c r="F172" s="20" t="s">
        <v>11</v>
      </c>
      <c r="G172" s="21" t="s">
        <v>12</v>
      </c>
      <c r="H172" s="11" t="s">
        <v>52</v>
      </c>
    </row>
    <row r="173" spans="1:8" x14ac:dyDescent="0.25">
      <c r="A173" s="11" t="s">
        <v>46</v>
      </c>
      <c r="B173" s="12">
        <v>44207</v>
      </c>
      <c r="C173" s="13" t="str">
        <f>"Planidea SA, Canobbio"</f>
        <v>Planidea SA, Canobbio</v>
      </c>
      <c r="D173" s="13" t="s">
        <v>48</v>
      </c>
      <c r="E173" s="14">
        <v>45693.55</v>
      </c>
      <c r="F173" s="20" t="s">
        <v>11</v>
      </c>
      <c r="G173" s="21" t="s">
        <v>12</v>
      </c>
      <c r="H173" s="11" t="s">
        <v>52</v>
      </c>
    </row>
    <row r="174" spans="1:8" x14ac:dyDescent="0.25">
      <c r="A174" s="11" t="s">
        <v>46</v>
      </c>
      <c r="B174" s="12">
        <v>44207</v>
      </c>
      <c r="C174" s="13" t="str">
        <f>"RS Recupero Materiali SA, Bironico"</f>
        <v>RS Recupero Materiali SA, Bironico</v>
      </c>
      <c r="D174" s="13" t="str">
        <f>"servizio raccolta e smaltimento vetro anno 2021"</f>
        <v>servizio raccolta e smaltimento vetro anno 2021</v>
      </c>
      <c r="E174" s="14">
        <v>5389.3</v>
      </c>
      <c r="F174" s="20" t="s">
        <v>11</v>
      </c>
      <c r="G174" s="21" t="s">
        <v>12</v>
      </c>
      <c r="H174" s="11" t="s">
        <v>52</v>
      </c>
    </row>
    <row r="175" spans="1:8" x14ac:dyDescent="0.25">
      <c r="A175" s="11" t="s">
        <v>46</v>
      </c>
      <c r="B175" s="12">
        <v>44207</v>
      </c>
      <c r="C175" s="13" t="str">
        <f>"Viessmann Schweiz AG, Torricella Taverne"</f>
        <v>Viessmann Schweiz AG, Torricella Taverne</v>
      </c>
      <c r="D175" s="13" t="str">
        <f>"controllo e manut. termopompa stabile asilo"</f>
        <v>controllo e manut. termopompa stabile asilo</v>
      </c>
      <c r="E175" s="14">
        <v>7801.5</v>
      </c>
      <c r="F175" s="20" t="s">
        <v>11</v>
      </c>
      <c r="G175" s="21" t="s">
        <v>12</v>
      </c>
      <c r="H175" s="11" t="s">
        <v>52</v>
      </c>
    </row>
    <row r="176" spans="1:8" x14ac:dyDescent="0.25">
      <c r="F176" s="29"/>
    </row>
    <row r="177" spans="1:6" x14ac:dyDescent="0.25">
      <c r="F177" s="29"/>
    </row>
    <row r="178" spans="1:6" x14ac:dyDescent="0.25">
      <c r="A178" s="37" t="s">
        <v>58</v>
      </c>
      <c r="C178" s="37" t="s">
        <v>59</v>
      </c>
      <c r="F178" s="29"/>
    </row>
    <row r="179" spans="1:6" x14ac:dyDescent="0.25">
      <c r="F179" s="29"/>
    </row>
    <row r="180" spans="1:6" x14ac:dyDescent="0.25">
      <c r="F180" s="29"/>
    </row>
    <row r="181" spans="1:6" x14ac:dyDescent="0.25">
      <c r="F181" s="29"/>
    </row>
    <row r="182" spans="1:6" x14ac:dyDescent="0.25">
      <c r="F182" s="29"/>
    </row>
    <row r="183" spans="1:6" x14ac:dyDescent="0.25">
      <c r="F183" s="29"/>
    </row>
    <row r="184" spans="1:6" x14ac:dyDescent="0.25">
      <c r="F184" s="29"/>
    </row>
    <row r="185" spans="1:6" x14ac:dyDescent="0.25">
      <c r="F185" s="29"/>
    </row>
    <row r="186" spans="1:6" x14ac:dyDescent="0.25">
      <c r="F186" s="29"/>
    </row>
    <row r="187" spans="1:6" x14ac:dyDescent="0.25">
      <c r="F187" s="29"/>
    </row>
    <row r="188" spans="1:6" x14ac:dyDescent="0.25">
      <c r="F188" s="29"/>
    </row>
    <row r="189" spans="1:6" x14ac:dyDescent="0.25">
      <c r="F189" s="29"/>
    </row>
    <row r="190" spans="1:6" x14ac:dyDescent="0.25">
      <c r="F190" s="29"/>
    </row>
  </sheetData>
  <mergeCells count="3">
    <mergeCell ref="A2:H2"/>
    <mergeCell ref="A3:H3"/>
    <mergeCell ref="A1:H1"/>
  </mergeCells>
  <pageMargins left="0.70866141732283472" right="0.70866141732283472" top="0.74803149606299213" bottom="0.74803149606299213" header="0.31496062992125984" footer="0.31496062992125984"/>
  <pageSetup paperSize="8" scale="77" fitToHeight="4" orientation="landscape" verticalDpi="360" r:id="rId1"/>
  <rowBreaks count="2" manualBreakCount="2">
    <brk id="65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Segretaria</dc:creator>
  <cp:lastModifiedBy>Segretaria</cp:lastModifiedBy>
  <cp:lastPrinted>2022-08-11T12:53:34Z</cp:lastPrinted>
  <dcterms:created xsi:type="dcterms:W3CDTF">2022-05-10T12:04:41Z</dcterms:created>
  <dcterms:modified xsi:type="dcterms:W3CDTF">2022-11-08T12:12:59Z</dcterms:modified>
</cp:coreProperties>
</file>